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regina_vallik_justdigi_ee/Documents/Töölaud/"/>
    </mc:Choice>
  </mc:AlternateContent>
  <xr:revisionPtr revIDLastSave="0" documentId="8_{71E502E4-BF02-41AD-B350-A7C71D0D8152}" xr6:coauthVersionLast="47" xr6:coauthVersionMax="47" xr10:uidLastSave="{00000000-0000-0000-0000-000000000000}"/>
  <bookViews>
    <workbookView xWindow="28680" yWindow="-120" windowWidth="29040" windowHeight="15720" xr2:uid="{4D1749CD-7348-40E3-9063-2FA36ECE44CB}"/>
  </bookViews>
  <sheets>
    <sheet name="aruanne" sheetId="1" r:id="rId1"/>
    <sheet name="LISA" sheetId="13" r:id="rId2"/>
    <sheet name="vordlus" sheetId="2" r:id="rId3"/>
    <sheet name="lisa1" sheetId="4" r:id="rId4"/>
  </sheets>
  <definedNames>
    <definedName name="_xlnm._FilterDatabase" localSheetId="0" hidden="1">aruanne!$A$3:$S$79</definedName>
    <definedName name="_xlnm._FilterDatabase" localSheetId="1" hidden="1">LISA!$A$1:$A$658</definedName>
    <definedName name="_xlnm._FilterDatabase" localSheetId="2" hidden="1">vordlus!$A$4:$J$24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6" i="13" l="1"/>
  <c r="G306" i="13" s="1"/>
  <c r="E318" i="13"/>
  <c r="G319" i="13"/>
  <c r="G323" i="13"/>
  <c r="E322" i="13"/>
  <c r="E77" i="13" l="1"/>
  <c r="G77" i="13" s="1"/>
  <c r="E89" i="13"/>
  <c r="G90" i="13"/>
  <c r="E93" i="13"/>
  <c r="E58" i="13"/>
  <c r="E67" i="13"/>
  <c r="G68" i="13"/>
  <c r="E71" i="13"/>
  <c r="G72" i="13"/>
  <c r="E34" i="13"/>
  <c r="E51" i="13"/>
  <c r="G52" i="13"/>
  <c r="E155" i="13"/>
  <c r="E164" i="13"/>
  <c r="G165" i="13"/>
  <c r="G169" i="13"/>
  <c r="E168" i="13"/>
  <c r="E143" i="13"/>
  <c r="G143" i="13" s="1"/>
  <c r="E151" i="13"/>
  <c r="G152" i="13"/>
  <c r="E116" i="13"/>
  <c r="E127" i="13"/>
  <c r="G128" i="13"/>
  <c r="E130" i="13"/>
  <c r="G131" i="13"/>
  <c r="E245" i="13"/>
  <c r="G245" i="13" s="1"/>
  <c r="E254" i="13"/>
  <c r="G255" i="13"/>
  <c r="G258" i="13"/>
  <c r="E257" i="13"/>
  <c r="E221" i="13"/>
  <c r="E233" i="13"/>
  <c r="E238" i="13"/>
  <c r="E202" i="13"/>
  <c r="G202" i="13" s="1"/>
  <c r="G216" i="13"/>
  <c r="E215" i="13"/>
  <c r="E181" i="13"/>
  <c r="E195" i="13"/>
  <c r="G196" i="13"/>
  <c r="E297" i="13"/>
  <c r="E288" i="13"/>
  <c r="G288" i="13" s="1"/>
  <c r="G298" i="13"/>
  <c r="F291" i="13"/>
  <c r="E291" i="13"/>
  <c r="D291" i="13"/>
  <c r="E300" i="13"/>
  <c r="G301" i="13"/>
  <c r="E269" i="13"/>
  <c r="G269" i="13" s="1"/>
  <c r="E280" i="13"/>
  <c r="G281" i="13"/>
  <c r="G58" i="13" l="1"/>
  <c r="G34" i="13"/>
  <c r="G155" i="13"/>
  <c r="G116" i="13"/>
  <c r="G181" i="13"/>
  <c r="E410" i="13"/>
  <c r="E397" i="13" s="1"/>
  <c r="E401" i="13"/>
  <c r="G411" i="13"/>
  <c r="E414" i="13"/>
  <c r="F401" i="13"/>
  <c r="G415" i="13"/>
  <c r="G401" i="13" l="1"/>
  <c r="G123" i="13" l="1"/>
  <c r="E60" i="13"/>
  <c r="C22" i="4" l="1"/>
  <c r="C13" i="4" l="1"/>
  <c r="F193" i="13" l="1"/>
  <c r="E75" i="1" l="1"/>
  <c r="E74" i="1"/>
  <c r="E76" i="1" l="1"/>
  <c r="E77" i="1"/>
  <c r="D76" i="1" l="1"/>
  <c r="D77" i="1"/>
  <c r="D75" i="1"/>
  <c r="D74" i="1"/>
  <c r="D179" i="13"/>
  <c r="E102" i="13"/>
  <c r="F102" i="13"/>
  <c r="D102" i="13"/>
  <c r="E120" i="13"/>
  <c r="F120" i="13"/>
  <c r="D120" i="13"/>
  <c r="E118" i="13"/>
  <c r="F118" i="13"/>
  <c r="D118" i="13"/>
  <c r="E117" i="13"/>
  <c r="F117" i="13"/>
  <c r="D117" i="13"/>
  <c r="D121" i="13"/>
  <c r="F127" i="13"/>
  <c r="D127" i="13"/>
  <c r="F130" i="13"/>
  <c r="D130" i="13"/>
  <c r="G133" i="13"/>
  <c r="G126" i="13"/>
  <c r="G129" i="13"/>
  <c r="E125" i="13"/>
  <c r="F125" i="13"/>
  <c r="D125" i="13"/>
  <c r="E158" i="13"/>
  <c r="F158" i="13"/>
  <c r="D158" i="13"/>
  <c r="E160" i="13"/>
  <c r="F160" i="13"/>
  <c r="D160" i="13"/>
  <c r="D157" i="13"/>
  <c r="E156" i="13"/>
  <c r="F156" i="13"/>
  <c r="D156" i="13"/>
  <c r="E172" i="13"/>
  <c r="F172" i="13"/>
  <c r="D172" i="13"/>
  <c r="F168" i="13"/>
  <c r="D168" i="13"/>
  <c r="G170" i="13"/>
  <c r="G163" i="13"/>
  <c r="D224" i="13"/>
  <c r="D144" i="13"/>
  <c r="D147" i="13"/>
  <c r="F151" i="13"/>
  <c r="D151" i="13"/>
  <c r="D136" i="13"/>
  <c r="E106" i="13"/>
  <c r="F106" i="13"/>
  <c r="D106" i="13"/>
  <c r="E104" i="13"/>
  <c r="E105" i="13"/>
  <c r="F109" i="13"/>
  <c r="D104" i="13"/>
  <c r="E108" i="13"/>
  <c r="F108" i="13"/>
  <c r="D108" i="13"/>
  <c r="D109" i="13"/>
  <c r="G114" i="13"/>
  <c r="G112" i="13"/>
  <c r="E179" i="13"/>
  <c r="F179" i="13"/>
  <c r="F248" i="13"/>
  <c r="D254" i="13"/>
  <c r="D252" i="13"/>
  <c r="D249" i="13"/>
  <c r="E248" i="13"/>
  <c r="D248" i="13"/>
  <c r="E247" i="13"/>
  <c r="F247" i="13"/>
  <c r="D247" i="13"/>
  <c r="E246" i="13"/>
  <c r="F246" i="13"/>
  <c r="D246" i="13"/>
  <c r="F257" i="13"/>
  <c r="D257" i="13"/>
  <c r="G260" i="13"/>
  <c r="F254" i="13"/>
  <c r="G256" i="13"/>
  <c r="E252" i="13"/>
  <c r="F252" i="13"/>
  <c r="G253" i="13"/>
  <c r="D215" i="13"/>
  <c r="E211" i="13"/>
  <c r="F211" i="13"/>
  <c r="D211" i="13"/>
  <c r="D207" i="13"/>
  <c r="E206" i="13"/>
  <c r="F206" i="13"/>
  <c r="D206" i="13"/>
  <c r="D205" i="13"/>
  <c r="E204" i="13"/>
  <c r="F204" i="13"/>
  <c r="D204" i="13"/>
  <c r="E203" i="13"/>
  <c r="F203" i="13"/>
  <c r="D203" i="13"/>
  <c r="F215" i="13"/>
  <c r="G217" i="13"/>
  <c r="G218" i="13"/>
  <c r="G214" i="13"/>
  <c r="G213" i="13"/>
  <c r="D195" i="13"/>
  <c r="D192" i="13"/>
  <c r="D187" i="13"/>
  <c r="E185" i="13"/>
  <c r="F185" i="13"/>
  <c r="D185" i="13"/>
  <c r="E183" i="13"/>
  <c r="F183" i="13"/>
  <c r="D183" i="13"/>
  <c r="E182" i="13"/>
  <c r="F182" i="13"/>
  <c r="D182" i="13"/>
  <c r="E186" i="13"/>
  <c r="F186" i="13"/>
  <c r="D186" i="13"/>
  <c r="G200" i="13"/>
  <c r="E192" i="13"/>
  <c r="F192" i="13"/>
  <c r="F195" i="13"/>
  <c r="G199" i="13"/>
  <c r="G193" i="13"/>
  <c r="G194" i="13"/>
  <c r="E225" i="13"/>
  <c r="F225" i="13"/>
  <c r="D225" i="13"/>
  <c r="E224" i="13"/>
  <c r="F224" i="13"/>
  <c r="E223" i="13"/>
  <c r="F223" i="13"/>
  <c r="D223" i="13"/>
  <c r="E222" i="13"/>
  <c r="F222" i="13"/>
  <c r="D222" i="13"/>
  <c r="F238" i="13"/>
  <c r="D238" i="13"/>
  <c r="D233" i="13"/>
  <c r="D231" i="13"/>
  <c r="D226" i="13"/>
  <c r="G242" i="13"/>
  <c r="F233" i="13"/>
  <c r="G235" i="13"/>
  <c r="G236" i="13"/>
  <c r="G237" i="13"/>
  <c r="E231" i="13"/>
  <c r="F231" i="13"/>
  <c r="G232" i="13"/>
  <c r="E226" i="13"/>
  <c r="F226" i="13"/>
  <c r="G230" i="13"/>
  <c r="F316" i="13"/>
  <c r="D310" i="13"/>
  <c r="F311" i="13"/>
  <c r="F292" i="13"/>
  <c r="F275" i="13"/>
  <c r="F267" i="13"/>
  <c r="D267" i="13"/>
  <c r="F322" i="13"/>
  <c r="D322" i="13"/>
  <c r="D318" i="13"/>
  <c r="D316" i="13"/>
  <c r="D311" i="13"/>
  <c r="F318" i="13"/>
  <c r="F310" i="13"/>
  <c r="E308" i="13"/>
  <c r="F308" i="13"/>
  <c r="D308" i="13"/>
  <c r="E307" i="13"/>
  <c r="F307" i="13"/>
  <c r="D307" i="13"/>
  <c r="E327" i="13"/>
  <c r="E310" i="13" s="1"/>
  <c r="G326" i="13"/>
  <c r="G321" i="13"/>
  <c r="G320" i="13"/>
  <c r="E316" i="13"/>
  <c r="G317" i="13"/>
  <c r="E311" i="13"/>
  <c r="G315" i="13"/>
  <c r="G125" i="13" l="1"/>
  <c r="E244" i="13"/>
  <c r="E220" i="13"/>
  <c r="G106" i="13"/>
  <c r="D100" i="13"/>
  <c r="E99" i="13"/>
  <c r="G158" i="13"/>
  <c r="G127" i="13"/>
  <c r="G108" i="13"/>
  <c r="D176" i="13"/>
  <c r="F176" i="13"/>
  <c r="D177" i="13"/>
  <c r="G248" i="13"/>
  <c r="E176" i="13"/>
  <c r="F244" i="13"/>
  <c r="D175" i="13"/>
  <c r="D244" i="13"/>
  <c r="D178" i="13"/>
  <c r="G252" i="13"/>
  <c r="G254" i="13"/>
  <c r="F177" i="13"/>
  <c r="G247" i="13"/>
  <c r="G233" i="13"/>
  <c r="G192" i="13"/>
  <c r="D201" i="13"/>
  <c r="G186" i="13"/>
  <c r="G231" i="13"/>
  <c r="G318" i="13"/>
  <c r="F263" i="13"/>
  <c r="E267" i="13"/>
  <c r="G316" i="13"/>
  <c r="F422" i="13"/>
  <c r="G422" i="13" s="1"/>
  <c r="G428" i="13"/>
  <c r="F447" i="13"/>
  <c r="F448" i="13"/>
  <c r="E445" i="13"/>
  <c r="G445" i="13" s="1"/>
  <c r="F453" i="13"/>
  <c r="E453" i="13"/>
  <c r="D453" i="13"/>
  <c r="G454" i="13"/>
  <c r="E455" i="13"/>
  <c r="G456" i="13"/>
  <c r="F459" i="13"/>
  <c r="F430" i="13" s="1"/>
  <c r="E459" i="13"/>
  <c r="D459" i="13"/>
  <c r="G461" i="13"/>
  <c r="G460" i="13"/>
  <c r="E516" i="13"/>
  <c r="E477" i="13"/>
  <c r="G465" i="13"/>
  <c r="E470" i="13"/>
  <c r="G470" i="13" s="1"/>
  <c r="F473" i="13"/>
  <c r="G473" i="13" s="1"/>
  <c r="F476" i="13"/>
  <c r="F477" i="13"/>
  <c r="G482" i="13"/>
  <c r="E483" i="13"/>
  <c r="G487" i="13"/>
  <c r="G484" i="13"/>
  <c r="F495" i="13"/>
  <c r="E492" i="13"/>
  <c r="G492" i="13" s="1"/>
  <c r="F500" i="13"/>
  <c r="E500" i="13"/>
  <c r="D500" i="13"/>
  <c r="G501" i="13"/>
  <c r="E502" i="13"/>
  <c r="G503" i="13"/>
  <c r="F506" i="13"/>
  <c r="E506" i="13"/>
  <c r="G509" i="13"/>
  <c r="G507" i="13"/>
  <c r="F513" i="13"/>
  <c r="F515" i="13"/>
  <c r="E512" i="13"/>
  <c r="G512" i="13" s="1"/>
  <c r="F516" i="13"/>
  <c r="G521" i="13"/>
  <c r="G519" i="13"/>
  <c r="F520" i="13"/>
  <c r="E520" i="13"/>
  <c r="D520" i="13"/>
  <c r="E522" i="13"/>
  <c r="G523" i="13"/>
  <c r="F526" i="13"/>
  <c r="E526" i="13"/>
  <c r="G528" i="13"/>
  <c r="G527" i="13"/>
  <c r="F538" i="13"/>
  <c r="G538" i="13" s="1"/>
  <c r="E535" i="13"/>
  <c r="G543" i="13"/>
  <c r="E545" i="13"/>
  <c r="G546" i="13"/>
  <c r="F563" i="13"/>
  <c r="F566" i="13"/>
  <c r="F565" i="13"/>
  <c r="E565" i="13"/>
  <c r="F564" i="13"/>
  <c r="G564" i="13" s="1"/>
  <c r="G561" i="13"/>
  <c r="G571" i="13"/>
  <c r="G570" i="13"/>
  <c r="E573" i="13"/>
  <c r="G577" i="13"/>
  <c r="G574" i="13"/>
  <c r="F579" i="13"/>
  <c r="F552" i="13" s="1"/>
  <c r="G552" i="13" s="1"/>
  <c r="E579" i="13"/>
  <c r="D579" i="13"/>
  <c r="G581" i="13"/>
  <c r="G580" i="13"/>
  <c r="F587" i="13"/>
  <c r="G587" i="13" s="1"/>
  <c r="G585" i="13"/>
  <c r="F592" i="13"/>
  <c r="F594" i="13"/>
  <c r="E590" i="13"/>
  <c r="G590" i="13" s="1"/>
  <c r="F593" i="13"/>
  <c r="G593" i="13" s="1"/>
  <c r="G600" i="13"/>
  <c r="F599" i="13"/>
  <c r="G599" i="13" s="1"/>
  <c r="F601" i="13"/>
  <c r="E601" i="13"/>
  <c r="G608" i="13"/>
  <c r="G607" i="13"/>
  <c r="G606" i="13"/>
  <c r="G605" i="13"/>
  <c r="G602" i="13"/>
  <c r="F631" i="13"/>
  <c r="G631" i="13" s="1"/>
  <c r="F630" i="13"/>
  <c r="E630" i="13"/>
  <c r="G635" i="13"/>
  <c r="F632" i="13"/>
  <c r="E632" i="13"/>
  <c r="F636" i="13"/>
  <c r="E636" i="13"/>
  <c r="E626" i="13" s="1"/>
  <c r="G626" i="13" s="1"/>
  <c r="G637" i="13"/>
  <c r="G642" i="13"/>
  <c r="E641" i="13"/>
  <c r="G641" i="13" s="1"/>
  <c r="D274" i="13"/>
  <c r="D273" i="13"/>
  <c r="D272" i="13"/>
  <c r="D271" i="13"/>
  <c r="E270" i="13"/>
  <c r="F270" i="13"/>
  <c r="D270" i="13"/>
  <c r="F284" i="13"/>
  <c r="F280" i="13"/>
  <c r="D300" i="13"/>
  <c r="D297" i="13"/>
  <c r="D295" i="13"/>
  <c r="D264" i="13" s="1"/>
  <c r="D292" i="13"/>
  <c r="E290" i="13"/>
  <c r="F290" i="13"/>
  <c r="D290" i="13"/>
  <c r="E289" i="13"/>
  <c r="F289" i="13"/>
  <c r="D289" i="13"/>
  <c r="F300" i="13"/>
  <c r="G303" i="13"/>
  <c r="F297" i="13"/>
  <c r="G296" i="13"/>
  <c r="G299" i="13"/>
  <c r="E295" i="13"/>
  <c r="E264" i="13" s="1"/>
  <c r="F295" i="13"/>
  <c r="F264" i="13" s="1"/>
  <c r="E274" i="13"/>
  <c r="F274" i="13"/>
  <c r="G286" i="13"/>
  <c r="E284" i="13"/>
  <c r="D284" i="13"/>
  <c r="G285" i="13"/>
  <c r="D32" i="13"/>
  <c r="D61" i="13"/>
  <c r="F60" i="13"/>
  <c r="D60" i="13"/>
  <c r="E59" i="13"/>
  <c r="F59" i="13"/>
  <c r="D59" i="13"/>
  <c r="D62" i="13"/>
  <c r="D65" i="13"/>
  <c r="F67" i="13"/>
  <c r="D67" i="13"/>
  <c r="F71" i="13"/>
  <c r="D71" i="13"/>
  <c r="G74" i="13"/>
  <c r="G70" i="13"/>
  <c r="G66" i="13"/>
  <c r="G69" i="13"/>
  <c r="E65" i="13"/>
  <c r="F65" i="13"/>
  <c r="F40" i="13"/>
  <c r="D40" i="13"/>
  <c r="E38" i="13"/>
  <c r="F38" i="13"/>
  <c r="D38" i="13"/>
  <c r="E56" i="13"/>
  <c r="E40" i="13" s="1"/>
  <c r="E48" i="13"/>
  <c r="E41" i="13"/>
  <c r="E39" i="13"/>
  <c r="F39" i="13"/>
  <c r="D39" i="13"/>
  <c r="E36" i="13"/>
  <c r="F36" i="13"/>
  <c r="D36" i="13"/>
  <c r="E35" i="13"/>
  <c r="F35" i="13"/>
  <c r="D35" i="13"/>
  <c r="F51" i="13"/>
  <c r="D51" i="13"/>
  <c r="D48" i="13"/>
  <c r="D41" i="13"/>
  <c r="G53" i="13"/>
  <c r="G54" i="13"/>
  <c r="G55" i="13"/>
  <c r="F48" i="13"/>
  <c r="G50" i="13"/>
  <c r="G49" i="13"/>
  <c r="F41" i="13"/>
  <c r="G47" i="13"/>
  <c r="G46" i="13"/>
  <c r="G45" i="13"/>
  <c r="F89" i="13"/>
  <c r="D89" i="13"/>
  <c r="D93" i="13"/>
  <c r="D87" i="13"/>
  <c r="D82" i="13"/>
  <c r="F81" i="13"/>
  <c r="D81" i="13"/>
  <c r="D80" i="13"/>
  <c r="D78" i="13"/>
  <c r="E79" i="13"/>
  <c r="D79" i="13"/>
  <c r="G95" i="13"/>
  <c r="G92" i="13"/>
  <c r="G91" i="13"/>
  <c r="F87" i="13"/>
  <c r="E87" i="13"/>
  <c r="G88" i="13"/>
  <c r="E86" i="13"/>
  <c r="G86" i="13" s="1"/>
  <c r="F85" i="13"/>
  <c r="E85" i="13"/>
  <c r="E80" i="13" s="1"/>
  <c r="F84" i="13"/>
  <c r="F79" i="13" s="1"/>
  <c r="F83" i="13"/>
  <c r="F78" i="13" s="1"/>
  <c r="E83" i="13"/>
  <c r="E78" i="13" s="1"/>
  <c r="D287" i="13" l="1"/>
  <c r="E287" i="13"/>
  <c r="F287" i="13"/>
  <c r="F265" i="13"/>
  <c r="E266" i="13"/>
  <c r="G264" i="13"/>
  <c r="D266" i="13"/>
  <c r="F266" i="13"/>
  <c r="G453" i="13"/>
  <c r="G459" i="13"/>
  <c r="G500" i="13"/>
  <c r="G520" i="13"/>
  <c r="G535" i="13"/>
  <c r="G579" i="13"/>
  <c r="G630" i="13"/>
  <c r="G297" i="13"/>
  <c r="D268" i="13"/>
  <c r="G295" i="13"/>
  <c r="G274" i="13"/>
  <c r="G284" i="13"/>
  <c r="F29" i="13"/>
  <c r="G71" i="13"/>
  <c r="E30" i="13"/>
  <c r="F30" i="13"/>
  <c r="D57" i="13"/>
  <c r="D30" i="13"/>
  <c r="D29" i="13"/>
  <c r="D28" i="13"/>
  <c r="G67" i="13"/>
  <c r="E29" i="13"/>
  <c r="D31" i="13"/>
  <c r="G65" i="13"/>
  <c r="G38" i="13"/>
  <c r="G51" i="13"/>
  <c r="G40" i="13"/>
  <c r="G48" i="13"/>
  <c r="G79" i="13"/>
  <c r="F82" i="13"/>
  <c r="D76" i="13"/>
  <c r="E82" i="13"/>
  <c r="F80" i="13"/>
  <c r="G80" i="13" s="1"/>
  <c r="E81" i="13"/>
  <c r="E76" i="13" s="1"/>
  <c r="G89" i="13"/>
  <c r="G87" i="13"/>
  <c r="G85" i="13"/>
  <c r="F408" i="13"/>
  <c r="F396" i="13" s="1"/>
  <c r="D405" i="13"/>
  <c r="D395" i="13" s="1"/>
  <c r="E398" i="13"/>
  <c r="E403" i="13"/>
  <c r="F418" i="13"/>
  <c r="E418" i="13"/>
  <c r="F413" i="13"/>
  <c r="D410" i="13"/>
  <c r="D397" i="13" s="1"/>
  <c r="F412" i="13"/>
  <c r="F417" i="13"/>
  <c r="F416" i="13"/>
  <c r="F407" i="13"/>
  <c r="F406" i="13"/>
  <c r="E396" i="13"/>
  <c r="D396" i="13"/>
  <c r="D373" i="13"/>
  <c r="D377" i="13"/>
  <c r="D389" i="13"/>
  <c r="G409" i="13"/>
  <c r="E406" i="13"/>
  <c r="E402" i="13" s="1"/>
  <c r="F402" i="13" l="1"/>
  <c r="F403" i="13"/>
  <c r="F399" i="13"/>
  <c r="F404" i="13"/>
  <c r="G30" i="13"/>
  <c r="G29" i="13"/>
  <c r="D27" i="13"/>
  <c r="G81" i="13"/>
  <c r="F405" i="13"/>
  <c r="F395" i="13" s="1"/>
  <c r="F76" i="13"/>
  <c r="G76" i="13" s="1"/>
  <c r="E405" i="13"/>
  <c r="E395" i="13" s="1"/>
  <c r="G407" i="13"/>
  <c r="G417" i="13"/>
  <c r="F410" i="13"/>
  <c r="F397" i="13" s="1"/>
  <c r="G397" i="13" s="1"/>
  <c r="G408" i="13"/>
  <c r="G413" i="13"/>
  <c r="G418" i="13"/>
  <c r="G412" i="13"/>
  <c r="F414" i="13"/>
  <c r="F398" i="13" s="1"/>
  <c r="G416" i="13"/>
  <c r="G396" i="13"/>
  <c r="F350" i="13"/>
  <c r="E350" i="13"/>
  <c r="D350" i="13"/>
  <c r="E349" i="13"/>
  <c r="G349" i="13" s="1"/>
  <c r="G361" i="13"/>
  <c r="G360" i="13"/>
  <c r="F359" i="13"/>
  <c r="F331" i="13" s="1"/>
  <c r="E359" i="13"/>
  <c r="E331" i="13" s="1"/>
  <c r="D359" i="13"/>
  <c r="D331" i="13" s="1"/>
  <c r="E356" i="13"/>
  <c r="F351" i="13"/>
  <c r="D351" i="13"/>
  <c r="F362" i="13"/>
  <c r="E362" i="13"/>
  <c r="D362" i="13"/>
  <c r="G365" i="13"/>
  <c r="G363" i="13"/>
  <c r="F353" i="13"/>
  <c r="D353" i="13"/>
  <c r="G358" i="13"/>
  <c r="F357" i="13"/>
  <c r="E357" i="13"/>
  <c r="D357" i="13"/>
  <c r="F388" i="13"/>
  <c r="E388" i="13"/>
  <c r="D388" i="13"/>
  <c r="F392" i="13"/>
  <c r="E392" i="13"/>
  <c r="D392" i="13"/>
  <c r="G393" i="13"/>
  <c r="E386" i="13"/>
  <c r="E387" i="13"/>
  <c r="F386" i="13"/>
  <c r="F387" i="13"/>
  <c r="F372" i="13"/>
  <c r="D372" i="13"/>
  <c r="F373" i="13"/>
  <c r="E373" i="13"/>
  <c r="G376" i="13"/>
  <c r="F369" i="13"/>
  <c r="E369" i="13"/>
  <c r="D369" i="13"/>
  <c r="F371" i="13"/>
  <c r="D371" i="13"/>
  <c r="D370" i="13"/>
  <c r="G383" i="13"/>
  <c r="G382" i="13"/>
  <c r="G381" i="13"/>
  <c r="F380" i="13"/>
  <c r="E380" i="13"/>
  <c r="D380" i="13"/>
  <c r="F378" i="13"/>
  <c r="F370" i="13" s="1"/>
  <c r="F333" i="13"/>
  <c r="D333" i="13"/>
  <c r="F337" i="13"/>
  <c r="E337" i="13"/>
  <c r="D337" i="13"/>
  <c r="G343" i="13"/>
  <c r="F339" i="13"/>
  <c r="E339" i="13"/>
  <c r="D339" i="13"/>
  <c r="G347" i="13"/>
  <c r="F335" i="13"/>
  <c r="D335" i="13"/>
  <c r="F345" i="13"/>
  <c r="E345" i="13"/>
  <c r="D345" i="13"/>
  <c r="G346" i="13"/>
  <c r="D332" i="13" l="1"/>
  <c r="F394" i="13"/>
  <c r="G410" i="13"/>
  <c r="G414" i="13"/>
  <c r="D368" i="13"/>
  <c r="G339" i="13"/>
  <c r="G331" i="13"/>
  <c r="G359" i="13"/>
  <c r="F385" i="13"/>
  <c r="E385" i="13"/>
  <c r="G357" i="13"/>
  <c r="G388" i="13"/>
  <c r="G392" i="13"/>
  <c r="G369" i="13"/>
  <c r="G380" i="13"/>
  <c r="G345" i="13"/>
  <c r="G337" i="13"/>
  <c r="E65" i="1" l="1"/>
  <c r="E8" i="1"/>
  <c r="E7" i="1"/>
  <c r="C13" i="2"/>
  <c r="C17" i="2" l="1"/>
  <c r="C14" i="2"/>
  <c r="C11" i="2"/>
  <c r="C10" i="2"/>
  <c r="C6" i="2"/>
  <c r="E11" i="1" l="1"/>
  <c r="C18" i="2" l="1"/>
  <c r="D57" i="1"/>
  <c r="C14" i="4" l="1"/>
  <c r="E656" i="13" l="1"/>
  <c r="E51" i="1" l="1"/>
  <c r="C51" i="1"/>
  <c r="F51" i="1" l="1"/>
  <c r="H12" i="2"/>
  <c r="D19" i="2"/>
  <c r="H19" i="2"/>
  <c r="G17" i="2"/>
  <c r="G14" i="2"/>
  <c r="G13" i="2"/>
  <c r="G11" i="2"/>
  <c r="G10" i="2"/>
  <c r="F629" i="13" l="1"/>
  <c r="F628" i="13"/>
  <c r="F627" i="13"/>
  <c r="F625" i="13" l="1"/>
  <c r="F52" i="1"/>
  <c r="H17" i="2"/>
  <c r="E52" i="1"/>
  <c r="G56" i="1"/>
  <c r="G55" i="1"/>
  <c r="G54" i="1"/>
  <c r="C52" i="1"/>
  <c r="F655" i="13"/>
  <c r="E50" i="1" s="1"/>
  <c r="D655" i="13"/>
  <c r="C50" i="1" s="1"/>
  <c r="D648" i="13"/>
  <c r="D647" i="13"/>
  <c r="F653" i="13"/>
  <c r="F645" i="13" s="1"/>
  <c r="D653" i="13"/>
  <c r="D645" i="13" s="1"/>
  <c r="F650" i="13"/>
  <c r="F644" i="13" s="1"/>
  <c r="E49" i="1" s="1"/>
  <c r="D650" i="13"/>
  <c r="D644" i="13" s="1"/>
  <c r="C49" i="1" s="1"/>
  <c r="F649" i="13"/>
  <c r="D649" i="13"/>
  <c r="F648" i="13"/>
  <c r="F647" i="13"/>
  <c r="D628" i="13"/>
  <c r="D627" i="13"/>
  <c r="D629" i="13"/>
  <c r="F624" i="13"/>
  <c r="D636" i="13"/>
  <c r="D624" i="13" s="1"/>
  <c r="F623" i="13"/>
  <c r="D632" i="13"/>
  <c r="D623" i="13" s="1"/>
  <c r="C47" i="1" s="1"/>
  <c r="F616" i="13"/>
  <c r="F615" i="13"/>
  <c r="F614" i="13"/>
  <c r="F613" i="13"/>
  <c r="D616" i="13"/>
  <c r="D615" i="13"/>
  <c r="D614" i="13"/>
  <c r="D613" i="13"/>
  <c r="F617" i="13"/>
  <c r="F611" i="13" s="1"/>
  <c r="E45" i="1" s="1"/>
  <c r="D617" i="13"/>
  <c r="D611" i="13" s="1"/>
  <c r="D610" i="13" s="1"/>
  <c r="C44" i="1" s="1"/>
  <c r="F588" i="13"/>
  <c r="D588" i="13"/>
  <c r="D591" i="13"/>
  <c r="D592" i="13"/>
  <c r="E609" i="13"/>
  <c r="F586" i="13"/>
  <c r="D601" i="13"/>
  <c r="D586" i="13" s="1"/>
  <c r="F595" i="13"/>
  <c r="F584" i="13" s="1"/>
  <c r="E43" i="1" s="1"/>
  <c r="D595" i="13"/>
  <c r="D584" i="13" s="1"/>
  <c r="C43" i="1" s="1"/>
  <c r="D594" i="13"/>
  <c r="F591" i="13"/>
  <c r="F573" i="13"/>
  <c r="F551" i="13" s="1"/>
  <c r="D573" i="13"/>
  <c r="D551" i="13" s="1"/>
  <c r="F556" i="13"/>
  <c r="F555" i="13"/>
  <c r="F553" i="13"/>
  <c r="D556" i="13"/>
  <c r="D555" i="13"/>
  <c r="D565" i="13"/>
  <c r="E582" i="13"/>
  <c r="F567" i="13"/>
  <c r="D567" i="13"/>
  <c r="D566" i="13"/>
  <c r="D563" i="13"/>
  <c r="F562" i="13"/>
  <c r="D562" i="13"/>
  <c r="F557" i="13"/>
  <c r="D557" i="13"/>
  <c r="D553" i="13"/>
  <c r="F539" i="13"/>
  <c r="F537" i="13"/>
  <c r="F536" i="13"/>
  <c r="D539" i="13"/>
  <c r="D537" i="13"/>
  <c r="D536" i="13"/>
  <c r="F545" i="13"/>
  <c r="F533" i="13" s="1"/>
  <c r="D540" i="13"/>
  <c r="D532" i="13" s="1"/>
  <c r="F540" i="13"/>
  <c r="F532" i="13" s="1"/>
  <c r="F474" i="13"/>
  <c r="D474" i="13"/>
  <c r="D489" i="13"/>
  <c r="D481" i="13"/>
  <c r="F468" i="13"/>
  <c r="F483" i="13"/>
  <c r="D468" i="13"/>
  <c r="F514" i="13"/>
  <c r="D514" i="13"/>
  <c r="D515" i="13"/>
  <c r="D526" i="13"/>
  <c r="F494" i="13"/>
  <c r="F493" i="13"/>
  <c r="D494" i="13"/>
  <c r="D506" i="13"/>
  <c r="D476" i="13"/>
  <c r="F475" i="13"/>
  <c r="E490" i="13"/>
  <c r="E476" i="13" s="1"/>
  <c r="F522" i="13"/>
  <c r="D522" i="13"/>
  <c r="D516" i="13"/>
  <c r="D513" i="13"/>
  <c r="E510" i="13"/>
  <c r="F502" i="13"/>
  <c r="D502" i="13"/>
  <c r="F496" i="13"/>
  <c r="D496" i="13"/>
  <c r="D495" i="13"/>
  <c r="D493" i="13"/>
  <c r="F472" i="13"/>
  <c r="D472" i="13"/>
  <c r="F471" i="13"/>
  <c r="D471" i="13"/>
  <c r="G53" i="1" l="1"/>
  <c r="D51" i="1"/>
  <c r="G569" i="13"/>
  <c r="G619" i="13"/>
  <c r="E627" i="13"/>
  <c r="G559" i="13"/>
  <c r="G575" i="13"/>
  <c r="G603" i="13"/>
  <c r="G620" i="13"/>
  <c r="G634" i="13"/>
  <c r="E628" i="13"/>
  <c r="G656" i="13"/>
  <c r="G478" i="13"/>
  <c r="G525" i="13"/>
  <c r="G480" i="13"/>
  <c r="G548" i="13"/>
  <c r="G576" i="13"/>
  <c r="G604" i="13"/>
  <c r="G657" i="13"/>
  <c r="G499" i="13"/>
  <c r="G524" i="13"/>
  <c r="G479" i="13"/>
  <c r="G504" i="13"/>
  <c r="G481" i="13"/>
  <c r="G582" i="13"/>
  <c r="G609" i="13"/>
  <c r="G658" i="13"/>
  <c r="G498" i="13"/>
  <c r="G529" i="13"/>
  <c r="E648" i="13"/>
  <c r="G640" i="13"/>
  <c r="E629" i="13"/>
  <c r="G558" i="13"/>
  <c r="E616" i="13"/>
  <c r="G505" i="13"/>
  <c r="G651" i="13"/>
  <c r="G510" i="13"/>
  <c r="G639" i="13"/>
  <c r="G654" i="13"/>
  <c r="G517" i="13"/>
  <c r="G541" i="13"/>
  <c r="G597" i="13"/>
  <c r="G488" i="13"/>
  <c r="G638" i="13"/>
  <c r="G489" i="13"/>
  <c r="G497" i="13"/>
  <c r="G568" i="13"/>
  <c r="G598" i="13"/>
  <c r="G618" i="13"/>
  <c r="D52" i="1"/>
  <c r="E613" i="13"/>
  <c r="G57" i="1"/>
  <c r="D643" i="13"/>
  <c r="C48" i="1" s="1"/>
  <c r="F643" i="13"/>
  <c r="E48" i="1" s="1"/>
  <c r="E614" i="13"/>
  <c r="D646" i="13"/>
  <c r="F646" i="13"/>
  <c r="D622" i="13"/>
  <c r="C46" i="1" s="1"/>
  <c r="F622" i="13"/>
  <c r="E46" i="1" s="1"/>
  <c r="E655" i="13"/>
  <c r="E47" i="1"/>
  <c r="E653" i="13"/>
  <c r="E647" i="13"/>
  <c r="G652" i="13"/>
  <c r="E650" i="13"/>
  <c r="F610" i="13"/>
  <c r="E44" i="1" s="1"/>
  <c r="G578" i="13"/>
  <c r="D625" i="13"/>
  <c r="C45" i="1"/>
  <c r="G633" i="13"/>
  <c r="E615" i="13"/>
  <c r="F612" i="13"/>
  <c r="F554" i="13"/>
  <c r="D583" i="13"/>
  <c r="C42" i="1" s="1"/>
  <c r="D612" i="13"/>
  <c r="E588" i="13"/>
  <c r="F583" i="13"/>
  <c r="E555" i="13"/>
  <c r="E617" i="13"/>
  <c r="G621" i="13"/>
  <c r="F550" i="13"/>
  <c r="E41" i="1" s="1"/>
  <c r="D589" i="13"/>
  <c r="F589" i="13"/>
  <c r="E553" i="13"/>
  <c r="E591" i="13"/>
  <c r="E556" i="13"/>
  <c r="E592" i="13"/>
  <c r="E595" i="13"/>
  <c r="G596" i="13"/>
  <c r="E594" i="13"/>
  <c r="D554" i="13"/>
  <c r="F534" i="13"/>
  <c r="E537" i="13"/>
  <c r="E536" i="13"/>
  <c r="F560" i="13"/>
  <c r="E567" i="13"/>
  <c r="D560" i="13"/>
  <c r="D550" i="13"/>
  <c r="E562" i="13"/>
  <c r="E557" i="13"/>
  <c r="E39" i="1"/>
  <c r="E566" i="13"/>
  <c r="G572" i="13"/>
  <c r="C39" i="1"/>
  <c r="E563" i="13"/>
  <c r="D534" i="13"/>
  <c r="D467" i="13"/>
  <c r="E474" i="13"/>
  <c r="E514" i="13"/>
  <c r="G547" i="13"/>
  <c r="G542" i="13"/>
  <c r="D545" i="13"/>
  <c r="D533" i="13" s="1"/>
  <c r="D483" i="13"/>
  <c r="F464" i="13"/>
  <c r="E37" i="1" s="1"/>
  <c r="F466" i="13"/>
  <c r="D477" i="13"/>
  <c r="D464" i="13" s="1"/>
  <c r="C37" i="1" s="1"/>
  <c r="F467" i="13"/>
  <c r="F424" i="13" s="1"/>
  <c r="E513" i="13"/>
  <c r="F469" i="13"/>
  <c r="E530" i="13"/>
  <c r="E515" i="13" s="1"/>
  <c r="E494" i="13"/>
  <c r="E495" i="13"/>
  <c r="G508" i="13"/>
  <c r="E493" i="13"/>
  <c r="E475" i="13"/>
  <c r="D475" i="13"/>
  <c r="D469" i="13" s="1"/>
  <c r="E496" i="13"/>
  <c r="D511" i="13"/>
  <c r="G490" i="13"/>
  <c r="F491" i="13"/>
  <c r="E472" i="13"/>
  <c r="D491" i="13"/>
  <c r="F511" i="13"/>
  <c r="G518" i="13"/>
  <c r="E471" i="13"/>
  <c r="G485" i="13"/>
  <c r="G486" i="13"/>
  <c r="F436" i="13"/>
  <c r="D436" i="13"/>
  <c r="F431" i="13"/>
  <c r="F425" i="13" s="1"/>
  <c r="F446" i="13"/>
  <c r="D431" i="13"/>
  <c r="D425" i="13" s="1"/>
  <c r="D447" i="13"/>
  <c r="D448" i="13"/>
  <c r="F455" i="13"/>
  <c r="D455" i="13"/>
  <c r="F449" i="13"/>
  <c r="D449" i="13"/>
  <c r="F434" i="13"/>
  <c r="F433" i="13"/>
  <c r="D435" i="13"/>
  <c r="D434" i="13"/>
  <c r="D433" i="13"/>
  <c r="F442" i="13"/>
  <c r="D442" i="13"/>
  <c r="D430" i="13" s="1"/>
  <c r="F439" i="13"/>
  <c r="D439" i="13"/>
  <c r="E462" i="13"/>
  <c r="D446" i="13"/>
  <c r="F33" i="1"/>
  <c r="F32" i="1"/>
  <c r="F31" i="1"/>
  <c r="F30" i="1"/>
  <c r="F101" i="13"/>
  <c r="F25" i="13" s="1"/>
  <c r="F100" i="13"/>
  <c r="D399" i="13"/>
  <c r="D26" i="13" s="1"/>
  <c r="D19" i="13" s="1"/>
  <c r="D414" i="13"/>
  <c r="D398" i="13" s="1"/>
  <c r="D24" i="13" s="1"/>
  <c r="D17" i="13" s="1"/>
  <c r="D404" i="13"/>
  <c r="D403" i="13"/>
  <c r="D402" i="13"/>
  <c r="D386" i="13"/>
  <c r="F352" i="13"/>
  <c r="D352" i="13"/>
  <c r="D348" i="13" s="1"/>
  <c r="F332" i="13"/>
  <c r="F338" i="13"/>
  <c r="F336" i="13"/>
  <c r="D336" i="13"/>
  <c r="F389" i="13"/>
  <c r="D387" i="13"/>
  <c r="E384" i="13"/>
  <c r="E372" i="13" s="1"/>
  <c r="E379" i="13"/>
  <c r="E371" i="13" s="1"/>
  <c r="F377" i="13"/>
  <c r="F330" i="13" s="1"/>
  <c r="D330" i="13"/>
  <c r="E370" i="13"/>
  <c r="F368" i="13"/>
  <c r="E367" i="13"/>
  <c r="E353" i="13" s="1"/>
  <c r="E351" i="13"/>
  <c r="F354" i="13"/>
  <c r="D354" i="13"/>
  <c r="E335" i="13"/>
  <c r="F340" i="13"/>
  <c r="D340" i="13"/>
  <c r="D338" i="13"/>
  <c r="D309" i="13"/>
  <c r="D305" i="13" s="1"/>
  <c r="F309" i="13"/>
  <c r="D280" i="13"/>
  <c r="D265" i="13" s="1"/>
  <c r="D275" i="13"/>
  <c r="D263" i="13" s="1"/>
  <c r="F273" i="13"/>
  <c r="F272" i="13"/>
  <c r="F271" i="13"/>
  <c r="F178" i="13"/>
  <c r="F184" i="13"/>
  <c r="F180" i="13" s="1"/>
  <c r="D184" i="13"/>
  <c r="D180" i="13" s="1"/>
  <c r="F249" i="13"/>
  <c r="F207" i="13"/>
  <c r="F205" i="13"/>
  <c r="F187" i="13"/>
  <c r="F159" i="13"/>
  <c r="F157" i="13"/>
  <c r="D159" i="13"/>
  <c r="D154" i="13" s="1"/>
  <c r="D101" i="13"/>
  <c r="D25" i="13" s="1"/>
  <c r="F164" i="13"/>
  <c r="F99" i="13" s="1"/>
  <c r="F23" i="13" s="1"/>
  <c r="F16" i="13" s="1"/>
  <c r="D164" i="13"/>
  <c r="D99" i="13" s="1"/>
  <c r="F146" i="13"/>
  <c r="F145" i="13"/>
  <c r="F144" i="13"/>
  <c r="D146" i="13"/>
  <c r="F147" i="13"/>
  <c r="D145" i="13"/>
  <c r="F137" i="13"/>
  <c r="D137" i="13"/>
  <c r="F119" i="13"/>
  <c r="F115" i="13" s="1"/>
  <c r="D119" i="13"/>
  <c r="D115" i="13" s="1"/>
  <c r="F121" i="13"/>
  <c r="D105" i="13"/>
  <c r="D107" i="13"/>
  <c r="F140" i="13"/>
  <c r="F98" i="13" s="1"/>
  <c r="D140" i="13"/>
  <c r="D98" i="13" s="1"/>
  <c r="F138" i="13"/>
  <c r="D138" i="13"/>
  <c r="D97" i="13" s="1"/>
  <c r="F136" i="13"/>
  <c r="F107" i="13"/>
  <c r="F105" i="13"/>
  <c r="F104" i="13"/>
  <c r="F32" i="13"/>
  <c r="F61" i="13"/>
  <c r="F57" i="13" s="1"/>
  <c r="E75" i="13"/>
  <c r="F62" i="13"/>
  <c r="F37" i="13"/>
  <c r="F93" i="13"/>
  <c r="D37" i="13"/>
  <c r="D33" i="13" s="1"/>
  <c r="F11" i="13" l="1"/>
  <c r="F18" i="13"/>
  <c r="D11" i="13"/>
  <c r="D18" i="13"/>
  <c r="D23" i="13"/>
  <c r="D16" i="13" s="1"/>
  <c r="D96" i="13"/>
  <c r="D22" i="13"/>
  <c r="F22" i="13"/>
  <c r="F15" i="13" s="1"/>
  <c r="D142" i="13"/>
  <c r="F142" i="13"/>
  <c r="D103" i="13"/>
  <c r="F103" i="13"/>
  <c r="E469" i="13"/>
  <c r="E491" i="13"/>
  <c r="E511" i="13"/>
  <c r="E560" i="13"/>
  <c r="E589" i="13"/>
  <c r="E625" i="13"/>
  <c r="F268" i="13"/>
  <c r="F31" i="13"/>
  <c r="F24" i="13" s="1"/>
  <c r="F17" i="13" s="1"/>
  <c r="D394" i="13"/>
  <c r="C28" i="1" s="1"/>
  <c r="D385" i="13"/>
  <c r="D400" i="13"/>
  <c r="D329" i="13"/>
  <c r="D21" i="13" s="1"/>
  <c r="D14" i="13" s="1"/>
  <c r="F400" i="13"/>
  <c r="F348" i="13"/>
  <c r="F334" i="13"/>
  <c r="E333" i="13"/>
  <c r="D334" i="13"/>
  <c r="G628" i="13"/>
  <c r="G655" i="13"/>
  <c r="G506" i="13"/>
  <c r="G122" i="13"/>
  <c r="G141" i="13"/>
  <c r="G188" i="13"/>
  <c r="G324" i="13"/>
  <c r="G342" i="13"/>
  <c r="G364" i="13"/>
  <c r="G438" i="13"/>
  <c r="G458" i="13"/>
  <c r="G522" i="13"/>
  <c r="G474" i="13"/>
  <c r="G567" i="13"/>
  <c r="G556" i="13"/>
  <c r="G588" i="13"/>
  <c r="E624" i="13"/>
  <c r="G84" i="13"/>
  <c r="G166" i="13"/>
  <c r="G283" i="13"/>
  <c r="G302" i="13"/>
  <c r="G391" i="13"/>
  <c r="G341" i="13"/>
  <c r="G437" i="13"/>
  <c r="G443" i="13"/>
  <c r="G514" i="13"/>
  <c r="G592" i="13"/>
  <c r="G649" i="13"/>
  <c r="G173" i="13"/>
  <c r="G251" i="13"/>
  <c r="G325" i="13"/>
  <c r="G344" i="13"/>
  <c r="G367" i="13"/>
  <c r="G516" i="13"/>
  <c r="G475" i="13"/>
  <c r="G591" i="13"/>
  <c r="G496" i="13"/>
  <c r="E533" i="13"/>
  <c r="G167" i="13"/>
  <c r="G304" i="13"/>
  <c r="G457" i="13"/>
  <c r="G75" i="13"/>
  <c r="G191" i="13"/>
  <c r="G209" i="13"/>
  <c r="G327" i="13"/>
  <c r="G378" i="13"/>
  <c r="G450" i="13"/>
  <c r="G476" i="13"/>
  <c r="G553" i="13"/>
  <c r="G629" i="13"/>
  <c r="D50" i="1"/>
  <c r="G613" i="13"/>
  <c r="G493" i="13"/>
  <c r="E586" i="13"/>
  <c r="G228" i="13"/>
  <c r="G278" i="13"/>
  <c r="G64" i="13"/>
  <c r="G150" i="13"/>
  <c r="G279" i="13"/>
  <c r="G452" i="13"/>
  <c r="G566" i="13"/>
  <c r="G565" i="13"/>
  <c r="G615" i="13"/>
  <c r="E644" i="13"/>
  <c r="E37" i="13"/>
  <c r="E33" i="13" s="1"/>
  <c r="G259" i="13"/>
  <c r="G277" i="13"/>
  <c r="E368" i="13"/>
  <c r="G124" i="13"/>
  <c r="E107" i="13"/>
  <c r="E103" i="13" s="1"/>
  <c r="G171" i="13"/>
  <c r="G227" i="13"/>
  <c r="G197" i="13"/>
  <c r="G293" i="13"/>
  <c r="G312" i="13"/>
  <c r="G440" i="13"/>
  <c r="E467" i="13"/>
  <c r="G210" i="13"/>
  <c r="G536" i="13"/>
  <c r="G134" i="13"/>
  <c r="E144" i="13"/>
  <c r="G161" i="13"/>
  <c r="G190" i="13"/>
  <c r="G366" i="13"/>
  <c r="G462" i="13"/>
  <c r="G537" i="13"/>
  <c r="G56" i="13"/>
  <c r="G110" i="13"/>
  <c r="E145" i="13"/>
  <c r="G162" i="13"/>
  <c r="G472" i="13"/>
  <c r="G495" i="13"/>
  <c r="G153" i="13"/>
  <c r="G241" i="13"/>
  <c r="G198" i="13"/>
  <c r="G240" i="13"/>
  <c r="G261" i="13"/>
  <c r="G294" i="13"/>
  <c r="G313" i="13"/>
  <c r="G441" i="13"/>
  <c r="G502" i="13"/>
  <c r="G616" i="13"/>
  <c r="E623" i="13"/>
  <c r="G648" i="13"/>
  <c r="E551" i="13"/>
  <c r="G229" i="13"/>
  <c r="G83" i="13"/>
  <c r="G243" i="13"/>
  <c r="G282" i="13"/>
  <c r="E309" i="13"/>
  <c r="E305" i="13" s="1"/>
  <c r="G406" i="13"/>
  <c r="G562" i="13"/>
  <c r="E611" i="13"/>
  <c r="G627" i="13"/>
  <c r="D424" i="13"/>
  <c r="D10" i="13" s="1"/>
  <c r="E646" i="13"/>
  <c r="G653" i="13"/>
  <c r="G636" i="13"/>
  <c r="G647" i="13"/>
  <c r="G650" i="13"/>
  <c r="F549" i="13"/>
  <c r="E40" i="1" s="1"/>
  <c r="G632" i="13"/>
  <c r="G601" i="13"/>
  <c r="E554" i="13"/>
  <c r="E612" i="13"/>
  <c r="G595" i="13"/>
  <c r="E584" i="13"/>
  <c r="E42" i="1"/>
  <c r="G617" i="13"/>
  <c r="G614" i="13"/>
  <c r="D549" i="13"/>
  <c r="C40" i="1" s="1"/>
  <c r="C41" i="1"/>
  <c r="E550" i="13"/>
  <c r="G594" i="13"/>
  <c r="D531" i="13"/>
  <c r="C38" i="1" s="1"/>
  <c r="F531" i="13"/>
  <c r="E38" i="1" s="1"/>
  <c r="G573" i="13"/>
  <c r="G557" i="13"/>
  <c r="E540" i="13"/>
  <c r="E539" i="13"/>
  <c r="E534" i="13" s="1"/>
  <c r="G555" i="13"/>
  <c r="G563" i="13"/>
  <c r="G545" i="13"/>
  <c r="D466" i="13"/>
  <c r="D463" i="13" s="1"/>
  <c r="C36" i="1" s="1"/>
  <c r="F463" i="13"/>
  <c r="E36" i="1" s="1"/>
  <c r="G544" i="13"/>
  <c r="E464" i="13"/>
  <c r="G526" i="13"/>
  <c r="E468" i="13"/>
  <c r="G477" i="13"/>
  <c r="E466" i="13"/>
  <c r="G530" i="13"/>
  <c r="G471" i="13"/>
  <c r="G483" i="13"/>
  <c r="F427" i="13"/>
  <c r="E447" i="13"/>
  <c r="F429" i="13"/>
  <c r="D429" i="13"/>
  <c r="D427" i="13"/>
  <c r="E436" i="13"/>
  <c r="G513" i="13"/>
  <c r="E431" i="13"/>
  <c r="G494" i="13"/>
  <c r="E446" i="13"/>
  <c r="E448" i="13"/>
  <c r="E442" i="13"/>
  <c r="E449" i="13"/>
  <c r="D444" i="13"/>
  <c r="E433" i="13"/>
  <c r="F432" i="13"/>
  <c r="F97" i="13"/>
  <c r="E21" i="1" s="1"/>
  <c r="D12" i="13"/>
  <c r="E434" i="13"/>
  <c r="E435" i="13"/>
  <c r="E439" i="13"/>
  <c r="F444" i="13"/>
  <c r="E404" i="13"/>
  <c r="E400" i="13" s="1"/>
  <c r="F26" i="13"/>
  <c r="D432" i="13"/>
  <c r="G451" i="13"/>
  <c r="E29" i="1"/>
  <c r="C29" i="1"/>
  <c r="E399" i="13"/>
  <c r="E394" i="13" s="1"/>
  <c r="F329" i="13"/>
  <c r="E27" i="1" s="1"/>
  <c r="E332" i="13"/>
  <c r="E352" i="13"/>
  <c r="E348" i="13" s="1"/>
  <c r="E336" i="13"/>
  <c r="E338" i="13"/>
  <c r="E389" i="13"/>
  <c r="E273" i="13"/>
  <c r="C25" i="1"/>
  <c r="F262" i="13"/>
  <c r="E354" i="13"/>
  <c r="E377" i="13"/>
  <c r="E330" i="13" s="1"/>
  <c r="C23" i="1"/>
  <c r="G355" i="13"/>
  <c r="G374" i="13"/>
  <c r="G379" i="13"/>
  <c r="G390" i="13"/>
  <c r="G356" i="13"/>
  <c r="G375" i="13"/>
  <c r="G384" i="13"/>
  <c r="E340" i="13"/>
  <c r="F175" i="13"/>
  <c r="F174" i="13" s="1"/>
  <c r="E22" i="1" s="1"/>
  <c r="F305" i="13"/>
  <c r="F220" i="13"/>
  <c r="E292" i="13"/>
  <c r="E265" i="13"/>
  <c r="E272" i="13"/>
  <c r="E271" i="13"/>
  <c r="E275" i="13"/>
  <c r="G314" i="13"/>
  <c r="G276" i="13"/>
  <c r="D220" i="13"/>
  <c r="E184" i="13"/>
  <c r="E180" i="13" s="1"/>
  <c r="E207" i="13"/>
  <c r="C21" i="1"/>
  <c r="E205" i="13"/>
  <c r="E201" i="13" s="1"/>
  <c r="F201" i="13"/>
  <c r="E249" i="13"/>
  <c r="G249" i="13" s="1"/>
  <c r="G189" i="13"/>
  <c r="G212" i="13"/>
  <c r="G250" i="13"/>
  <c r="G219" i="13"/>
  <c r="G208" i="13"/>
  <c r="E187" i="13"/>
  <c r="E157" i="13"/>
  <c r="E159" i="13"/>
  <c r="E147" i="13"/>
  <c r="F154" i="13"/>
  <c r="E146" i="13"/>
  <c r="E137" i="13"/>
  <c r="G148" i="13"/>
  <c r="G149" i="13"/>
  <c r="E119" i="13"/>
  <c r="E115" i="13" s="1"/>
  <c r="E138" i="13"/>
  <c r="E121" i="13"/>
  <c r="F135" i="13"/>
  <c r="F28" i="13"/>
  <c r="D135" i="13"/>
  <c r="G113" i="13"/>
  <c r="E32" i="13"/>
  <c r="E109" i="13"/>
  <c r="G109" i="13" s="1"/>
  <c r="E140" i="13"/>
  <c r="E98" i="13" s="1"/>
  <c r="E136" i="13"/>
  <c r="G139" i="13"/>
  <c r="G132" i="13"/>
  <c r="G111" i="13"/>
  <c r="E61" i="13"/>
  <c r="E57" i="13" s="1"/>
  <c r="E62" i="13"/>
  <c r="G73" i="13"/>
  <c r="F33" i="13"/>
  <c r="G63" i="13"/>
  <c r="G93" i="13"/>
  <c r="G42" i="13"/>
  <c r="G43" i="13"/>
  <c r="G44" i="13"/>
  <c r="D8" i="13" l="1"/>
  <c r="D15" i="13"/>
  <c r="F12" i="13"/>
  <c r="F19" i="13"/>
  <c r="E154" i="13"/>
  <c r="E142" i="13"/>
  <c r="E22" i="13"/>
  <c r="E268" i="13"/>
  <c r="F8" i="13"/>
  <c r="F21" i="13"/>
  <c r="E263" i="13"/>
  <c r="E444" i="13"/>
  <c r="E334" i="13"/>
  <c r="G467" i="13"/>
  <c r="G36" i="13"/>
  <c r="G644" i="13"/>
  <c r="G130" i="13"/>
  <c r="D45" i="1"/>
  <c r="G45" i="1" s="1"/>
  <c r="E643" i="13"/>
  <c r="G105" i="13"/>
  <c r="D49" i="1"/>
  <c r="G107" i="13"/>
  <c r="E610" i="13"/>
  <c r="G611" i="13"/>
  <c r="G37" i="13"/>
  <c r="G351" i="13"/>
  <c r="G335" i="13"/>
  <c r="G404" i="13"/>
  <c r="G433" i="13"/>
  <c r="G560" i="13"/>
  <c r="G118" i="13"/>
  <c r="G146" i="13"/>
  <c r="G310" i="13"/>
  <c r="G336" i="13"/>
  <c r="G402" i="13"/>
  <c r="G60" i="13"/>
  <c r="G205" i="13"/>
  <c r="G387" i="13"/>
  <c r="G206" i="13"/>
  <c r="G551" i="13"/>
  <c r="G455" i="13"/>
  <c r="G589" i="13"/>
  <c r="G646" i="13"/>
  <c r="G203" i="13"/>
  <c r="G183" i="13"/>
  <c r="G138" i="13"/>
  <c r="G207" i="13"/>
  <c r="G352" i="13"/>
  <c r="G353" i="13"/>
  <c r="G533" i="13"/>
  <c r="G211" i="13"/>
  <c r="G224" i="13"/>
  <c r="G645" i="13"/>
  <c r="G168" i="13"/>
  <c r="G372" i="13"/>
  <c r="G273" i="13"/>
  <c r="G399" i="13"/>
  <c r="G468" i="13"/>
  <c r="E532" i="13"/>
  <c r="G309" i="13"/>
  <c r="G119" i="13"/>
  <c r="E583" i="13"/>
  <c r="D47" i="1"/>
  <c r="G47" i="1" s="1"/>
  <c r="G225" i="13"/>
  <c r="G267" i="13"/>
  <c r="G333" i="13"/>
  <c r="G447" i="13"/>
  <c r="D37" i="1"/>
  <c r="E622" i="13"/>
  <c r="G182" i="13"/>
  <c r="G121" i="13"/>
  <c r="G272" i="13"/>
  <c r="G491" i="13"/>
  <c r="G159" i="13"/>
  <c r="G185" i="13"/>
  <c r="G290" i="13"/>
  <c r="G289" i="13"/>
  <c r="G389" i="13"/>
  <c r="E430" i="13"/>
  <c r="G612" i="13"/>
  <c r="G623" i="13"/>
  <c r="G311" i="13"/>
  <c r="G338" i="13"/>
  <c r="G147" i="13"/>
  <c r="G373" i="13"/>
  <c r="G62" i="13"/>
  <c r="G145" i="13"/>
  <c r="G184" i="13"/>
  <c r="G292" i="13"/>
  <c r="G371" i="13"/>
  <c r="G434" i="13"/>
  <c r="G448" i="13"/>
  <c r="G554" i="13"/>
  <c r="G586" i="13"/>
  <c r="G624" i="13"/>
  <c r="G550" i="13"/>
  <c r="G308" i="13"/>
  <c r="G61" i="13"/>
  <c r="G466" i="13"/>
  <c r="G82" i="13"/>
  <c r="G120" i="13"/>
  <c r="G157" i="13"/>
  <c r="G257" i="13"/>
  <c r="G226" i="13"/>
  <c r="G270" i="13"/>
  <c r="G179" i="13"/>
  <c r="G354" i="13"/>
  <c r="G102" i="13"/>
  <c r="G446" i="13"/>
  <c r="G469" i="13"/>
  <c r="G625" i="13"/>
  <c r="F10" i="13"/>
  <c r="F423" i="13"/>
  <c r="F9" i="13" s="1"/>
  <c r="E425" i="13"/>
  <c r="E35" i="1"/>
  <c r="E33" i="1" s="1"/>
  <c r="F421" i="13"/>
  <c r="D423" i="13"/>
  <c r="D9" i="13" s="1"/>
  <c r="D421" i="13"/>
  <c r="D43" i="1"/>
  <c r="G584" i="13"/>
  <c r="D41" i="1"/>
  <c r="E549" i="13"/>
  <c r="G539" i="13"/>
  <c r="G540" i="13"/>
  <c r="G464" i="13"/>
  <c r="F426" i="13"/>
  <c r="E34" i="1" s="1"/>
  <c r="G515" i="13"/>
  <c r="E463" i="13"/>
  <c r="E427" i="13"/>
  <c r="C35" i="1"/>
  <c r="C33" i="1" s="1"/>
  <c r="D426" i="13"/>
  <c r="C34" i="1" s="1"/>
  <c r="C30" i="1" s="1"/>
  <c r="G449" i="13"/>
  <c r="G431" i="13"/>
  <c r="G439" i="13"/>
  <c r="E429" i="13"/>
  <c r="G442" i="13"/>
  <c r="E432" i="13"/>
  <c r="G436" i="13"/>
  <c r="G32" i="13"/>
  <c r="E26" i="13"/>
  <c r="E19" i="13" s="1"/>
  <c r="G172" i="13"/>
  <c r="E101" i="13"/>
  <c r="G151" i="13"/>
  <c r="E100" i="13"/>
  <c r="G140" i="13"/>
  <c r="E97" i="13"/>
  <c r="E19" i="1"/>
  <c r="G435" i="13"/>
  <c r="G405" i="13"/>
  <c r="F328" i="13"/>
  <c r="E28" i="1"/>
  <c r="G403" i="13"/>
  <c r="G362" i="13"/>
  <c r="D328" i="13"/>
  <c r="C26" i="1" s="1"/>
  <c r="C27" i="1"/>
  <c r="E329" i="13"/>
  <c r="G377" i="13"/>
  <c r="E25" i="1"/>
  <c r="D262" i="13"/>
  <c r="C24" i="1" s="1"/>
  <c r="E23" i="1"/>
  <c r="E178" i="13"/>
  <c r="D174" i="13"/>
  <c r="C22" i="1" s="1"/>
  <c r="G275" i="13"/>
  <c r="E24" i="1"/>
  <c r="G386" i="13"/>
  <c r="G350" i="13"/>
  <c r="G370" i="13"/>
  <c r="G340" i="13"/>
  <c r="G322" i="13"/>
  <c r="G176" i="13"/>
  <c r="G307" i="13"/>
  <c r="G300" i="13"/>
  <c r="G187" i="13"/>
  <c r="E175" i="13"/>
  <c r="G238" i="13"/>
  <c r="G195" i="13"/>
  <c r="G280" i="13"/>
  <c r="G271" i="13"/>
  <c r="G223" i="13"/>
  <c r="G164" i="13"/>
  <c r="C20" i="1"/>
  <c r="F96" i="13"/>
  <c r="E20" i="1" s="1"/>
  <c r="G137" i="13"/>
  <c r="G204" i="13"/>
  <c r="G160" i="13"/>
  <c r="G246" i="13"/>
  <c r="G222" i="13"/>
  <c r="E135" i="13"/>
  <c r="G156" i="13"/>
  <c r="G144" i="13"/>
  <c r="F27" i="13"/>
  <c r="E18" i="1" s="1"/>
  <c r="G117" i="13"/>
  <c r="E31" i="13"/>
  <c r="G104" i="13"/>
  <c r="G41" i="13"/>
  <c r="E28" i="13"/>
  <c r="C18" i="1"/>
  <c r="C19" i="1"/>
  <c r="G136" i="13"/>
  <c r="G59" i="13"/>
  <c r="G78" i="13"/>
  <c r="G39" i="13"/>
  <c r="G35" i="13"/>
  <c r="F62" i="1"/>
  <c r="F58" i="1"/>
  <c r="F17" i="1"/>
  <c r="F16" i="1"/>
  <c r="F14" i="1" s="1"/>
  <c r="F12" i="1" s="1"/>
  <c r="F11" i="1"/>
  <c r="F8" i="1"/>
  <c r="F7" i="1"/>
  <c r="G19" i="13" l="1"/>
  <c r="E8" i="13"/>
  <c r="E15" i="13"/>
  <c r="G15" i="13" s="1"/>
  <c r="F20" i="13"/>
  <c r="F14" i="13"/>
  <c r="E21" i="13"/>
  <c r="E14" i="13" s="1"/>
  <c r="G395" i="13"/>
  <c r="E26" i="1"/>
  <c r="G430" i="13"/>
  <c r="G583" i="13"/>
  <c r="G643" i="13"/>
  <c r="D48" i="1"/>
  <c r="D42" i="1"/>
  <c r="D46" i="1"/>
  <c r="G46" i="1" s="1"/>
  <c r="G37" i="1"/>
  <c r="G610" i="13"/>
  <c r="E424" i="13"/>
  <c r="G424" i="13" s="1"/>
  <c r="G622" i="13"/>
  <c r="G49" i="1"/>
  <c r="D44" i="1"/>
  <c r="G534" i="13"/>
  <c r="G115" i="13"/>
  <c r="G268" i="13"/>
  <c r="G400" i="13"/>
  <c r="G57" i="13"/>
  <c r="G201" i="13"/>
  <c r="G175" i="13"/>
  <c r="G368" i="13"/>
  <c r="G334" i="13"/>
  <c r="G100" i="13"/>
  <c r="G432" i="13"/>
  <c r="G142" i="13"/>
  <c r="G180" i="13"/>
  <c r="G263" i="13"/>
  <c r="E423" i="13"/>
  <c r="G330" i="13"/>
  <c r="G178" i="13"/>
  <c r="G99" i="13"/>
  <c r="G154" i="13"/>
  <c r="G220" i="13"/>
  <c r="G266" i="13"/>
  <c r="D27" i="1"/>
  <c r="E531" i="13"/>
  <c r="G425" i="13"/>
  <c r="G332" i="13"/>
  <c r="D39" i="1"/>
  <c r="G39" i="1" s="1"/>
  <c r="G511" i="13"/>
  <c r="G103" i="13"/>
  <c r="G265" i="13"/>
  <c r="G348" i="13"/>
  <c r="G385" i="13"/>
  <c r="G398" i="13"/>
  <c r="G135" i="13"/>
  <c r="G244" i="13"/>
  <c r="G287" i="13"/>
  <c r="E421" i="13"/>
  <c r="G532" i="13"/>
  <c r="G305" i="13"/>
  <c r="G97" i="13"/>
  <c r="G444" i="13"/>
  <c r="E31" i="1"/>
  <c r="F420" i="13"/>
  <c r="F419" i="13" s="1"/>
  <c r="G429" i="13"/>
  <c r="E12" i="13"/>
  <c r="F7" i="13"/>
  <c r="F6" i="13" s="1"/>
  <c r="F5" i="1"/>
  <c r="F78" i="1" s="1"/>
  <c r="D420" i="13"/>
  <c r="D419" i="13" s="1"/>
  <c r="D7" i="13"/>
  <c r="D6" i="13" s="1"/>
  <c r="F13" i="13"/>
  <c r="G43" i="1"/>
  <c r="D40" i="1"/>
  <c r="G549" i="13"/>
  <c r="G41" i="1"/>
  <c r="E32" i="1"/>
  <c r="D35" i="1"/>
  <c r="G35" i="1" s="1"/>
  <c r="E30" i="1"/>
  <c r="G427" i="13"/>
  <c r="G463" i="13"/>
  <c r="D36" i="1"/>
  <c r="C31" i="1"/>
  <c r="C32" i="1"/>
  <c r="E426" i="13"/>
  <c r="E25" i="13"/>
  <c r="E18" i="13" s="1"/>
  <c r="G18" i="13" s="1"/>
  <c r="G101" i="13"/>
  <c r="G329" i="13"/>
  <c r="G31" i="13"/>
  <c r="E24" i="13"/>
  <c r="E17" i="13" s="1"/>
  <c r="G17" i="13" s="1"/>
  <c r="G98" i="13"/>
  <c r="D29" i="1"/>
  <c r="E328" i="13"/>
  <c r="D25" i="1"/>
  <c r="E262" i="13"/>
  <c r="D23" i="1"/>
  <c r="D21" i="1"/>
  <c r="E96" i="13"/>
  <c r="E27" i="13"/>
  <c r="D19" i="1"/>
  <c r="G28" i="13"/>
  <c r="D20" i="13"/>
  <c r="D13" i="13" s="1"/>
  <c r="G26" i="13"/>
  <c r="F15" i="1"/>
  <c r="F13" i="1" s="1"/>
  <c r="G14" i="13" l="1"/>
  <c r="E7" i="13"/>
  <c r="G42" i="1"/>
  <c r="G48" i="1"/>
  <c r="G44" i="1"/>
  <c r="G421" i="13"/>
  <c r="G531" i="13"/>
  <c r="E10" i="13"/>
  <c r="D38" i="1"/>
  <c r="E420" i="13"/>
  <c r="G423" i="13"/>
  <c r="G12" i="13"/>
  <c r="E11" i="13"/>
  <c r="D34" i="1"/>
  <c r="G33" i="13"/>
  <c r="G25" i="13"/>
  <c r="G22" i="13"/>
  <c r="G40" i="1"/>
  <c r="G31" i="1"/>
  <c r="G33" i="1"/>
  <c r="D31" i="1"/>
  <c r="D33" i="1"/>
  <c r="G36" i="1"/>
  <c r="G426" i="13"/>
  <c r="G24" i="13"/>
  <c r="D28" i="1"/>
  <c r="G394" i="13"/>
  <c r="G328" i="13"/>
  <c r="D26" i="1"/>
  <c r="D24" i="1"/>
  <c r="G262" i="13"/>
  <c r="D20" i="1"/>
  <c r="G96" i="13"/>
  <c r="G21" i="13"/>
  <c r="D18" i="1"/>
  <c r="G27" i="13"/>
  <c r="G34" i="1" l="1"/>
  <c r="D32" i="1"/>
  <c r="E419" i="13"/>
  <c r="G7" i="13"/>
  <c r="G8" i="13"/>
  <c r="G10" i="13"/>
  <c r="G11" i="13"/>
  <c r="G420" i="13"/>
  <c r="D30" i="1"/>
  <c r="G38" i="1"/>
  <c r="G30" i="1" l="1"/>
  <c r="G32" i="1"/>
  <c r="G419" i="13"/>
  <c r="E17" i="1" l="1"/>
  <c r="E16" i="1"/>
  <c r="E15" i="1" l="1"/>
  <c r="E13" i="1" s="1"/>
  <c r="E14" i="1"/>
  <c r="E12" i="1" s="1"/>
  <c r="D17" i="1"/>
  <c r="D15" i="1" s="1"/>
  <c r="D13" i="1" s="1"/>
  <c r="D58" i="1" l="1"/>
  <c r="C58" i="1"/>
  <c r="E58" i="1"/>
  <c r="G59" i="1"/>
  <c r="H22" i="2"/>
  <c r="I22" i="2" s="1"/>
  <c r="D22" i="2"/>
  <c r="E22" i="2" s="1"/>
  <c r="G58" i="1" l="1"/>
  <c r="G3" i="2" l="1"/>
  <c r="D12" i="2"/>
  <c r="C3" i="2" l="1"/>
  <c r="C17" i="1" l="1"/>
  <c r="C15" i="1" s="1"/>
  <c r="C13" i="1" s="1"/>
  <c r="C16" i="1"/>
  <c r="C14" i="1" s="1"/>
  <c r="C12" i="1" s="1"/>
  <c r="E14" i="2" l="1"/>
  <c r="E11" i="2"/>
  <c r="E21" i="2"/>
  <c r="E18" i="2"/>
  <c r="E12" i="2"/>
  <c r="G74" i="1" l="1"/>
  <c r="G77" i="1"/>
  <c r="G76" i="1"/>
  <c r="G75" i="1"/>
  <c r="G51" i="1" l="1"/>
  <c r="G52" i="1"/>
  <c r="D6" i="4" l="1"/>
  <c r="G50" i="1"/>
  <c r="D61" i="1"/>
  <c r="D60" i="1"/>
  <c r="G29" i="1"/>
  <c r="G28" i="1"/>
  <c r="G27" i="1"/>
  <c r="G26" i="1"/>
  <c r="G25" i="1"/>
  <c r="G24" i="1"/>
  <c r="G23" i="1"/>
  <c r="G21" i="1"/>
  <c r="G20" i="1"/>
  <c r="G19" i="1"/>
  <c r="G18" i="1"/>
  <c r="D11" i="1"/>
  <c r="D10" i="1"/>
  <c r="D9" i="1"/>
  <c r="D8" i="1"/>
  <c r="D7" i="1"/>
  <c r="D6" i="1"/>
  <c r="D29" i="4" l="1"/>
  <c r="G17" i="1"/>
  <c r="G61" i="1"/>
  <c r="C6" i="4"/>
  <c r="G10" i="1"/>
  <c r="D13" i="2"/>
  <c r="E13" i="2" s="1"/>
  <c r="G6" i="1"/>
  <c r="G7" i="1"/>
  <c r="G11" i="1"/>
  <c r="G8" i="1"/>
  <c r="G9" i="1"/>
  <c r="E23" i="2"/>
  <c r="D20" i="2"/>
  <c r="E20" i="2" s="1"/>
  <c r="D16" i="2"/>
  <c r="E16" i="2" s="1"/>
  <c r="D15" i="2"/>
  <c r="E15" i="2" s="1"/>
  <c r="D10" i="2"/>
  <c r="E10" i="2" s="1"/>
  <c r="D9" i="2"/>
  <c r="E9" i="2" s="1"/>
  <c r="D8" i="2"/>
  <c r="E8" i="2" s="1"/>
  <c r="D7" i="2"/>
  <c r="E7" i="2" s="1"/>
  <c r="D6" i="2"/>
  <c r="E6" i="2" s="1"/>
  <c r="D5" i="2"/>
  <c r="H16" i="2"/>
  <c r="H23" i="2"/>
  <c r="I19" i="2"/>
  <c r="I21" i="2"/>
  <c r="H9" i="2"/>
  <c r="I9" i="2" s="1"/>
  <c r="H8" i="2"/>
  <c r="I8" i="2" s="1"/>
  <c r="E5" i="1"/>
  <c r="D5" i="1"/>
  <c r="C5" i="1"/>
  <c r="G15" i="1" l="1"/>
  <c r="E19" i="2"/>
  <c r="D17" i="2"/>
  <c r="E17" i="2" s="1"/>
  <c r="G5" i="1"/>
  <c r="H6" i="2"/>
  <c r="I6" i="2" s="1"/>
  <c r="H7" i="2"/>
  <c r="I7" i="2" s="1"/>
  <c r="H10" i="2"/>
  <c r="I10" i="2" s="1"/>
  <c r="H20" i="2"/>
  <c r="H13" i="2"/>
  <c r="G60" i="1"/>
  <c r="H5" i="2"/>
  <c r="G13" i="1" l="1"/>
  <c r="D28" i="4" l="1"/>
  <c r="B6" i="4"/>
  <c r="B28" i="4" s="1"/>
  <c r="I20" i="2" l="1"/>
  <c r="H15" i="2"/>
  <c r="I15" i="2" s="1"/>
  <c r="I23" i="2"/>
  <c r="I18" i="2"/>
  <c r="I14" i="2"/>
  <c r="I12" i="2"/>
  <c r="I11" i="2"/>
  <c r="E62" i="1"/>
  <c r="E78" i="1" s="1"/>
  <c r="E80" i="1" s="1"/>
  <c r="H3" i="2" l="1"/>
  <c r="C28" i="4"/>
  <c r="D30" i="4"/>
  <c r="B29" i="4"/>
  <c r="B30" i="4" s="1"/>
  <c r="E5" i="2"/>
  <c r="D3" i="2" l="1"/>
  <c r="I16" i="2"/>
  <c r="I5" i="2"/>
  <c r="I17" i="2"/>
  <c r="I13" i="2" l="1"/>
  <c r="E3" i="2" l="1"/>
  <c r="I3" i="2" l="1"/>
  <c r="E177" i="13"/>
  <c r="G177" i="13" s="1"/>
  <c r="G215" i="13"/>
  <c r="E174" i="13" l="1"/>
  <c r="D22" i="1" s="1"/>
  <c r="D16" i="1" s="1"/>
  <c r="D14" i="1" s="1"/>
  <c r="D12" i="1" s="1"/>
  <c r="C29" i="4" s="1"/>
  <c r="C30" i="4" s="1"/>
  <c r="E23" i="13"/>
  <c r="E20" i="13" l="1"/>
  <c r="E16" i="13"/>
  <c r="G16" i="13" s="1"/>
  <c r="G174" i="13"/>
  <c r="G22" i="1"/>
  <c r="G16" i="1" s="1"/>
  <c r="G14" i="1" s="1"/>
  <c r="G12" i="1" s="1"/>
  <c r="E9" i="13"/>
  <c r="G23" i="13"/>
  <c r="E13" i="13"/>
  <c r="G13" i="13" s="1"/>
  <c r="G20" i="13"/>
  <c r="E6" i="13" l="1"/>
  <c r="G6" i="13" s="1"/>
  <c r="G9" i="13"/>
</calcChain>
</file>

<file path=xl/sharedStrings.xml><?xml version="1.0" encoding="utf-8"?>
<sst xmlns="http://schemas.openxmlformats.org/spreadsheetml/2006/main" count="827" uniqueCount="159">
  <si>
    <t>eurodes</t>
  </si>
  <si>
    <t>Algne eelarve</t>
  </si>
  <si>
    <t>Lõplik eelarve</t>
  </si>
  <si>
    <t>Täitmine miinus lõplik eelarve</t>
  </si>
  <si>
    <t>Saadud toetused</t>
  </si>
  <si>
    <t>Riigilõivud</t>
  </si>
  <si>
    <t>Tulu majandustegevusest</t>
  </si>
  <si>
    <t>Tulu põhivara ja varude müügist</t>
  </si>
  <si>
    <t>Trahvid ja muud varalised karistused</t>
  </si>
  <si>
    <t>sh piirmääraga vahendid</t>
  </si>
  <si>
    <t>KULUD</t>
  </si>
  <si>
    <t xml:space="preserve">INVESTEERINGUD </t>
  </si>
  <si>
    <t>KORRIGEERIMISED</t>
  </si>
  <si>
    <t>Kontroll</t>
  </si>
  <si>
    <t>saldoandmik</t>
  </si>
  <si>
    <t>TULUD</t>
  </si>
  <si>
    <t>Intressikulu pensionieraldistelt</t>
  </si>
  <si>
    <t>Avaliku sektori eripensionid ja pensionisuurendused</t>
  </si>
  <si>
    <t>Kulud</t>
  </si>
  <si>
    <t>Investeeringud</t>
  </si>
  <si>
    <t xml:space="preserve">JAOTAMATA </t>
  </si>
  <si>
    <t>Ebatõenäoliselt laekuvad nõuded (tulu taastamine)</t>
  </si>
  <si>
    <t>Ebatõenäoliselt laekuvad nõuded (kulu taastamine)</t>
  </si>
  <si>
    <t>FINANTSEERIMISTEHINGUD</t>
  </si>
  <si>
    <t>Tulemusvaldkond: ÕIGUSRIIK</t>
  </si>
  <si>
    <t>Teistelt riigiasutustelt saadud välistoetuste kaasrahastamine</t>
  </si>
  <si>
    <t>Osaluste ümberhindlus</t>
  </si>
  <si>
    <t xml:space="preserve">Lisa </t>
  </si>
  <si>
    <t>Eelarve täitmise ja raamatupidamisaruannete võrdlus</t>
  </si>
  <si>
    <t>Kirje</t>
  </si>
  <si>
    <t>Selgitus</t>
  </si>
  <si>
    <t>Finantstulud</t>
  </si>
  <si>
    <t>Finantskulud</t>
  </si>
  <si>
    <t>3sisesed</t>
  </si>
  <si>
    <t>4,5,6sisesed</t>
  </si>
  <si>
    <t>15ettemaksed</t>
  </si>
  <si>
    <t>Kapitalirendi tagasimaksed</t>
  </si>
  <si>
    <t>Valitsemisala</t>
  </si>
  <si>
    <t>Lõpliku eelarve kujunemine</t>
  </si>
  <si>
    <t>Tulud</t>
  </si>
  <si>
    <t>Fin tehingud</t>
  </si>
  <si>
    <t>Esialgne eelarve</t>
  </si>
  <si>
    <t>Üle toodud eelmisest aastast</t>
  </si>
  <si>
    <t>Sihtotstarbeliste vahendite reservist</t>
  </si>
  <si>
    <t>Eelarves kavandatud toetused</t>
  </si>
  <si>
    <t>Tegelikult saadud toetused ja avatud sildfinantseerimine</t>
  </si>
  <si>
    <t>Eelarves kavandatud saastekvootide müügist</t>
  </si>
  <si>
    <t>Tegelikult saadud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</si>
  <si>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</si>
  <si>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</si>
  <si>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</si>
  <si>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>Eelarves kavandatud muud tuludest sõltuvad kulud</t>
  </si>
  <si>
    <t>Eelarves kavandatud edasiantavad maksud</t>
  </si>
  <si>
    <t>Tegelikud edasiantavad maksud</t>
  </si>
  <si>
    <t xml:space="preserve">Saadud Vabariigi Valitsuse reservfondist </t>
  </si>
  <si>
    <t>Antud Vabariigi valitsuse reservfondi</t>
  </si>
  <si>
    <t>Saadud omandireformi reservfondist</t>
  </si>
  <si>
    <t>Kokku lõplik eelarve</t>
  </si>
  <si>
    <t>Käibemaks</t>
  </si>
  <si>
    <t>Käibemaksukulu tegevuskuludelt</t>
  </si>
  <si>
    <t>Käibemaksukulu finantseerimistehingutelt</t>
  </si>
  <si>
    <t>Muud tulud</t>
  </si>
  <si>
    <t>Tööjõukulud</t>
  </si>
  <si>
    <t>Majandamiskulud</t>
  </si>
  <si>
    <t>Muud kulud</t>
  </si>
  <si>
    <t>Kulud kokku</t>
  </si>
  <si>
    <t>Teistele valitsemisaladele vahendatud välistoetused (tulu taastamine)</t>
  </si>
  <si>
    <t>Teistele valitsemisaladele vahendatud välistoetused ja kaasrahastamine</t>
  </si>
  <si>
    <t>Eelarves kavandatud välistoetuste kaasrahastamine</t>
  </si>
  <si>
    <t>Tegelik välistoetuste kaasrahastamine</t>
  </si>
  <si>
    <t>sh käibemaks</t>
  </si>
  <si>
    <t>Käibemaksukulu investeeringutelt</t>
  </si>
  <si>
    <t>Tegevuskulud, v.a käibemaksukulu</t>
  </si>
  <si>
    <t>Investeeringud, v.a käibemaksukulu</t>
  </si>
  <si>
    <t>Tulu põhivarade ja varude müügist</t>
  </si>
  <si>
    <t>Muud investeeringud kokku</t>
  </si>
  <si>
    <t>Kulud, investeeringud</t>
  </si>
  <si>
    <t>Trahvid ja varalised karistused</t>
  </si>
  <si>
    <t>sisene</t>
  </si>
  <si>
    <t>Karistuste täideviimise korraldamine</t>
  </si>
  <si>
    <t>Finantseerimistehingud, v.a käibemaksukulu</t>
  </si>
  <si>
    <t xml:space="preserve">JUSTIITSMINISTEERIUMI valitsemisala </t>
  </si>
  <si>
    <t>Digiühiskonna programm</t>
  </si>
  <si>
    <t>Digiriigi arenguhüpped</t>
  </si>
  <si>
    <t>Digiriigi alusbaasi kindlustamine</t>
  </si>
  <si>
    <t>Küberturvalisuse tagamine</t>
  </si>
  <si>
    <t>Kapitaliseeritud töötasud (kulu vähendamine)</t>
  </si>
  <si>
    <t>ebatõenäolised trahvid ja maj teg nõuded korrigeerimistes ühes summas</t>
  </si>
  <si>
    <t>Kriminaalpoliitika kujundamine ja elluviimine, sh ennetus</t>
  </si>
  <si>
    <t>Tulemusvaldkond: DIGIÜHISKOND</t>
  </si>
  <si>
    <t>Riikliku küberturvalisuse juhtimine ja koordineerimine</t>
  </si>
  <si>
    <t>Suundumuste, riskide ja mõjude analüüsivõime arendamine</t>
  </si>
  <si>
    <t>Muudatused Vabariigi Valitsuse korralduste alusel</t>
  </si>
  <si>
    <t>Tegelikud muud tuludest sõltuvad kulud</t>
  </si>
  <si>
    <t>Raamatupidamisandmed 2023</t>
  </si>
  <si>
    <t>RE aruanne 2023</t>
  </si>
  <si>
    <t>Vahe 2023</t>
  </si>
  <si>
    <t>Täitmine 2024</t>
  </si>
  <si>
    <t xml:space="preserve">Osalused avaliku sektori ja sidusüksustes </t>
  </si>
  <si>
    <t>Raamatupidamisandmed 2024</t>
  </si>
  <si>
    <t>RE aruanne 2024</t>
  </si>
  <si>
    <t>Vahe 2024</t>
  </si>
  <si>
    <t>Laekumine osaluse likvideerimisest</t>
  </si>
  <si>
    <t>Kapitaliseeritud töötasud (investeeringute suurendamine)</t>
  </si>
  <si>
    <t>2025. aasta riigieelarve täitmise arunne</t>
  </si>
  <si>
    <t>Täitmine 2025</t>
  </si>
  <si>
    <t>Sotsiaaltoetused</t>
  </si>
  <si>
    <t>Muud toetused</t>
  </si>
  <si>
    <t>Muud kulud, sh amortisatsioon</t>
  </si>
  <si>
    <t>Seaduses toodud kulude detailsem jaotus asutuste, majandusliku sisu ja liikide lõikes</t>
  </si>
  <si>
    <t>2025. a riigieelarve täitmise aruande lisa</t>
  </si>
  <si>
    <t>Sh piirmääraga kulud</t>
  </si>
  <si>
    <t>Sh arvestuslikud kulud</t>
  </si>
  <si>
    <t>Sh välistoetus koos riigieelarvelise kaasfinantseeringuga</t>
  </si>
  <si>
    <t>Sh muud tuludest sõltuvad kulud</t>
  </si>
  <si>
    <t>Sh amortisatioon</t>
  </si>
  <si>
    <t>Sh amortisatsioon</t>
  </si>
  <si>
    <t>Investeeringutoetused</t>
  </si>
  <si>
    <t>Õigusemõistmise ja õigusteenuste tagamine</t>
  </si>
  <si>
    <t>Kesksete IT-teenuste osutamine teistele valitsemisaladele</t>
  </si>
  <si>
    <t>Õigusriigi ja õigusloome kvaliteedi tagamine</t>
  </si>
  <si>
    <t>Usaldusväärse ja tulemusliku õigusruumi programm</t>
  </si>
  <si>
    <t>Programmi tegevus: Õigusriigi ja õigusloome kvaliteedi tagamine</t>
  </si>
  <si>
    <t>Justiits- ja Digiministeerium</t>
  </si>
  <si>
    <t>Regitrite ja Infosüsteemide Keskus</t>
  </si>
  <si>
    <t>Andmekaitse Inspektsioon</t>
  </si>
  <si>
    <t>Konkurentsivõimelise ärikeskkonna tagamine</t>
  </si>
  <si>
    <t>Programmi tegevus: Konkurentsivõimelise ärikeskkonna tagamine</t>
  </si>
  <si>
    <t>Konkurentsiamet</t>
  </si>
  <si>
    <t>Sh edasiantavad maksud</t>
  </si>
  <si>
    <t>Patendiamet</t>
  </si>
  <si>
    <t>Programmi tegevus: Kriminaalpoliitika kujundamine ja elluviimine, sh ennetus</t>
  </si>
  <si>
    <t>Prokuratuur</t>
  </si>
  <si>
    <t>Eesti Kohtuekspertiisi Instituut</t>
  </si>
  <si>
    <t>Programmi tegevus: Karistuste täideviimise korraldamine</t>
  </si>
  <si>
    <t>Programmi tegevus: Õigusemõistmise ja õigusteenuste tagamine</t>
  </si>
  <si>
    <t>Programmi tegevus: Kesksete IT-teenuste osutamine teistele valitsemisaladele</t>
  </si>
  <si>
    <t>Programmi tegevus: Digiriigi arenguhüpped</t>
  </si>
  <si>
    <t>Riigi Infosüsteemi Amet</t>
  </si>
  <si>
    <t>Programmi tegevus: Digiriigi alusbaasi kindlustamine</t>
  </si>
  <si>
    <t>Riigi Info- ja Kommunikatsioonitehnoloogia Keskus</t>
  </si>
  <si>
    <t>Programmi tegevus: Riikliku küberturvalisuse juhtimine ja koordineerimine</t>
  </si>
  <si>
    <t>Programmi tegevus: Küberturvalisuse tagamine</t>
  </si>
  <si>
    <t>Sidevaldkonna regulatiivse keskkonna tagamine</t>
  </si>
  <si>
    <t>Programmi tegevus: Sidevaldkonna regulatiivse keskkonna tagamine</t>
  </si>
  <si>
    <t>Väga suure läbilaskevõimega juurdepääsuvõrkude väljaarendamine</t>
  </si>
  <si>
    <t>Programmi tegevus: Väga suure läbilaskevõimega juurdepääsuvõrkude väljaarendamine</t>
  </si>
  <si>
    <t>5G-taristu ja -teenuste arendamine</t>
  </si>
  <si>
    <t>Programmi tegevus: 5G-taristu ja -teenuste arendamine</t>
  </si>
  <si>
    <t>IT-investeeringud</t>
  </si>
  <si>
    <t>Muudatused 18.06.2025 lisaeelarve seaduse alusel</t>
  </si>
  <si>
    <t>Muudatused 03.12.2025 teise lisaeelarve seaduse alusel</t>
  </si>
  <si>
    <t>JDM</t>
  </si>
  <si>
    <t>Tuludest sõltuvate kulude tegelik limiit</t>
  </si>
  <si>
    <t>-1373282,13 muud tulud liik 43</t>
  </si>
  <si>
    <t>Registrite ja Infosüsteemide Keskus</t>
  </si>
  <si>
    <t>Kohtud (grupp)</t>
  </si>
  <si>
    <t>Vanglad (grupp)</t>
  </si>
  <si>
    <t>Programmi tegevus: Suundumuste, riskide ja mõjude analüüsivõime arendamine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</si>
</sst>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sz val="12"/>
      <color theme="5" tint="-0.49998474074526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9"/>
      <color theme="1"/>
      <name val="Cambria"/>
      <family val="1"/>
      <charset val="186"/>
    </font>
    <font>
      <b/>
      <sz val="11"/>
      <color rgb="FF000000"/>
      <name val="Calibri"/>
      <family val="2"/>
      <charset val="186"/>
      <scheme val="minor"/>
    </font>
    <font>
      <sz val="9"/>
      <color theme="1"/>
      <name val="Cambria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12" fillId="0" borderId="0" xfId="0" applyFont="1"/>
    <xf numFmtId="3" fontId="10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12" fillId="3" borderId="1" xfId="0" applyFont="1" applyFill="1" applyBorder="1" applyAlignment="1">
      <alignment vertical="top"/>
    </xf>
    <xf numFmtId="4" fontId="12" fillId="3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3" fontId="14" fillId="0" borderId="1" xfId="0" applyNumberFormat="1" applyFont="1" applyBorder="1"/>
    <xf numFmtId="0" fontId="14" fillId="0" borderId="0" xfId="0" applyFont="1"/>
    <xf numFmtId="3" fontId="0" fillId="0" borderId="0" xfId="0" quotePrefix="1" applyNumberFormat="1"/>
    <xf numFmtId="0" fontId="12" fillId="4" borderId="1" xfId="0" applyFont="1" applyFill="1" applyBorder="1" applyAlignment="1">
      <alignment vertical="top"/>
    </xf>
    <xf numFmtId="3" fontId="14" fillId="4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0" fontId="14" fillId="0" borderId="1" xfId="0" applyFont="1" applyBorder="1"/>
    <xf numFmtId="0" fontId="1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3" fontId="14" fillId="0" borderId="0" xfId="0" applyNumberFormat="1" applyFont="1"/>
    <xf numFmtId="4" fontId="0" fillId="0" borderId="0" xfId="0" applyNumberFormat="1" applyAlignment="1">
      <alignment horizontal="right"/>
    </xf>
    <xf numFmtId="4" fontId="10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" fontId="12" fillId="3" borderId="1" xfId="0" applyNumberFormat="1" applyFont="1" applyFill="1" applyBorder="1" applyAlignment="1">
      <alignment horizontal="right" vertical="top" wrapText="1"/>
    </xf>
    <xf numFmtId="43" fontId="8" fillId="0" borderId="3" xfId="6" applyFont="1" applyFill="1" applyBorder="1" applyAlignment="1" applyProtection="1">
      <alignment horizontal="right"/>
      <protection locked="0"/>
    </xf>
    <xf numFmtId="4" fontId="12" fillId="3" borderId="1" xfId="0" applyNumberFormat="1" applyFont="1" applyFill="1" applyBorder="1" applyAlignment="1">
      <alignment vertical="top"/>
    </xf>
    <xf numFmtId="43" fontId="8" fillId="0" borderId="0" xfId="6" applyFont="1" applyFill="1" applyBorder="1" applyAlignment="1" applyProtection="1">
      <alignment horizontal="right"/>
      <protection locked="0"/>
    </xf>
    <xf numFmtId="43" fontId="1" fillId="0" borderId="0" xfId="6" applyFont="1" applyFill="1"/>
    <xf numFmtId="43" fontId="13" fillId="0" borderId="0" xfId="6" applyFont="1" applyFill="1"/>
    <xf numFmtId="4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43" fontId="0" fillId="0" borderId="0" xfId="6" applyFont="1" applyFill="1" applyBorder="1"/>
    <xf numFmtId="4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wrapText="1"/>
    </xf>
    <xf numFmtId="4" fontId="0" fillId="2" borderId="0" xfId="0" applyNumberFormat="1" applyFill="1" applyAlignment="1">
      <alignment horizontal="left"/>
    </xf>
    <xf numFmtId="3" fontId="0" fillId="2" borderId="0" xfId="0" quotePrefix="1" applyNumberFormat="1" applyFill="1"/>
    <xf numFmtId="3" fontId="14" fillId="2" borderId="1" xfId="0" applyNumberFormat="1" applyFont="1" applyFill="1" applyBorder="1" applyAlignment="1">
      <alignment horizontal="center" vertical="top" wrapText="1"/>
    </xf>
    <xf numFmtId="3" fontId="14" fillId="2" borderId="1" xfId="0" applyNumberFormat="1" applyFont="1" applyFill="1" applyBorder="1"/>
    <xf numFmtId="3" fontId="14" fillId="2" borderId="1" xfId="0" applyNumberFormat="1" applyFont="1" applyFill="1" applyBorder="1" applyAlignment="1">
      <alignment vertical="top"/>
    </xf>
    <xf numFmtId="3" fontId="12" fillId="2" borderId="1" xfId="0" applyNumberFormat="1" applyFont="1" applyFill="1" applyBorder="1" applyAlignment="1">
      <alignment vertical="top"/>
    </xf>
    <xf numFmtId="3" fontId="14" fillId="2" borderId="0" xfId="0" applyNumberFormat="1" applyFont="1" applyFill="1"/>
    <xf numFmtId="3" fontId="0" fillId="2" borderId="0" xfId="0" applyNumberFormat="1" applyFill="1"/>
    <xf numFmtId="0" fontId="0" fillId="2" borderId="0" xfId="0" quotePrefix="1" applyFill="1"/>
    <xf numFmtId="0" fontId="14" fillId="2" borderId="1" xfId="0" applyFont="1" applyFill="1" applyBorder="1" applyAlignment="1">
      <alignment vertical="top"/>
    </xf>
    <xf numFmtId="3" fontId="8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5" fillId="0" borderId="1" xfId="2" applyNumberFormat="1" applyFont="1" applyFill="1" applyBorder="1" applyAlignment="1" applyProtection="1">
      <alignment horizontal="right"/>
      <protection locked="0"/>
    </xf>
    <xf numFmtId="3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3" fontId="6" fillId="0" borderId="1" xfId="2" applyNumberFormat="1" applyFont="1" applyFill="1" applyBorder="1" applyAlignment="1" applyProtection="1">
      <alignment horizontal="right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3" fontId="8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right"/>
    </xf>
    <xf numFmtId="0" fontId="13" fillId="0" borderId="1" xfId="0" applyFont="1" applyFill="1" applyBorder="1"/>
    <xf numFmtId="0" fontId="17" fillId="0" borderId="1" xfId="0" applyFont="1" applyFill="1" applyBorder="1"/>
    <xf numFmtId="0" fontId="0" fillId="0" borderId="1" xfId="0" applyFill="1" applyBorder="1"/>
    <xf numFmtId="3" fontId="0" fillId="0" borderId="1" xfId="0" applyNumberFormat="1" applyFill="1" applyBorder="1"/>
    <xf numFmtId="3" fontId="13" fillId="0" borderId="1" xfId="0" applyNumberFormat="1" applyFont="1" applyFill="1" applyBorder="1"/>
    <xf numFmtId="0" fontId="13" fillId="0" borderId="0" xfId="0" applyFont="1" applyFill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3" fontId="6" fillId="0" borderId="1" xfId="2" applyNumberFormat="1" applyFont="1" applyFill="1" applyBorder="1" applyAlignment="1" applyProtection="1">
      <alignment horizontal="left"/>
      <protection locked="0"/>
    </xf>
    <xf numFmtId="3" fontId="8" fillId="0" borderId="1" xfId="2" applyNumberFormat="1" applyFont="1" applyFill="1" applyBorder="1" applyAlignment="1" applyProtection="1">
      <alignment horizontal="center"/>
      <protection locked="0"/>
    </xf>
    <xf numFmtId="3" fontId="3" fillId="0" borderId="1" xfId="0" applyNumberFormat="1" applyFont="1" applyFill="1" applyBorder="1" applyAlignment="1">
      <alignment horizontal="center" wrapText="1"/>
    </xf>
    <xf numFmtId="0" fontId="3" fillId="0" borderId="1" xfId="2" applyFont="1" applyFill="1" applyBorder="1" applyAlignment="1" applyProtection="1">
      <alignment horizontal="left"/>
      <protection locked="0"/>
    </xf>
    <xf numFmtId="3" fontId="13" fillId="0" borderId="0" xfId="0" applyNumberFormat="1" applyFont="1" applyFill="1"/>
    <xf numFmtId="3" fontId="15" fillId="0" borderId="1" xfId="0" applyNumberFormat="1" applyFont="1" applyFill="1" applyBorder="1"/>
    <xf numFmtId="4" fontId="20" fillId="0" borderId="0" xfId="0" applyNumberFormat="1" applyFont="1" applyFill="1"/>
    <xf numFmtId="0" fontId="20" fillId="0" borderId="0" xfId="0" applyFont="1" applyFill="1"/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Protection="1">
      <protection locked="0"/>
    </xf>
    <xf numFmtId="4" fontId="13" fillId="0" borderId="0" xfId="0" applyNumberFormat="1" applyFont="1" applyFill="1"/>
    <xf numFmtId="4" fontId="2" fillId="0" borderId="0" xfId="0" applyNumberFormat="1" applyFont="1" applyFill="1"/>
    <xf numFmtId="4" fontId="4" fillId="0" borderId="0" xfId="0" applyNumberFormat="1" applyFont="1" applyFill="1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21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 applyProtection="1">
      <alignment vertical="top"/>
      <protection locked="0"/>
    </xf>
    <xf numFmtId="0" fontId="13" fillId="0" borderId="1" xfId="0" applyFont="1" applyFill="1" applyBorder="1" applyAlignment="1" applyProtection="1">
      <alignment vertical="top"/>
      <protection locked="0"/>
    </xf>
    <xf numFmtId="0" fontId="3" fillId="0" borderId="0" xfId="0" applyFont="1" applyFill="1"/>
    <xf numFmtId="3" fontId="4" fillId="0" borderId="0" xfId="0" applyNumberFormat="1" applyFont="1" applyFill="1"/>
    <xf numFmtId="3" fontId="5" fillId="0" borderId="0" xfId="0" applyNumberFormat="1" applyFont="1" applyFill="1"/>
    <xf numFmtId="43" fontId="0" fillId="0" borderId="0" xfId="6" applyFont="1" applyFill="1"/>
    <xf numFmtId="0" fontId="16" fillId="0" borderId="0" xfId="0" applyFont="1" applyFill="1"/>
    <xf numFmtId="0" fontId="18" fillId="0" borderId="0" xfId="0" applyFont="1" applyFill="1"/>
    <xf numFmtId="3" fontId="16" fillId="0" borderId="0" xfId="0" applyNumberFormat="1" applyFont="1" applyFill="1" applyAlignment="1">
      <alignment horizontal="center" wrapText="1"/>
    </xf>
    <xf numFmtId="3" fontId="9" fillId="0" borderId="1" xfId="2" applyNumberFormat="1" applyFont="1" applyFill="1" applyBorder="1" applyAlignment="1" applyProtection="1">
      <alignment horizontal="right"/>
      <protection locked="0"/>
    </xf>
    <xf numFmtId="3" fontId="19" fillId="0" borderId="1" xfId="2" applyNumberFormat="1" applyFont="1" applyFill="1" applyBorder="1" applyAlignment="1" applyProtection="1">
      <alignment horizontal="right"/>
      <protection locked="0"/>
    </xf>
    <xf numFmtId="0" fontId="16" fillId="0" borderId="0" xfId="2" applyFont="1" applyFill="1" applyAlignment="1" applyProtection="1">
      <alignment horizontal="left"/>
      <protection locked="0"/>
    </xf>
    <xf numFmtId="3" fontId="18" fillId="0" borderId="0" xfId="0" applyNumberFormat="1" applyFont="1" applyFill="1"/>
    <xf numFmtId="3" fontId="16" fillId="0" borderId="0" xfId="0" applyNumberFormat="1" applyFont="1" applyFill="1"/>
    <xf numFmtId="0" fontId="8" fillId="0" borderId="1" xfId="2" applyFont="1" applyFill="1" applyBorder="1" applyAlignment="1" applyProtection="1">
      <alignment horizontal="center"/>
      <protection locked="0"/>
    </xf>
    <xf numFmtId="43" fontId="2" fillId="0" borderId="0" xfId="6" applyFont="1" applyFill="1"/>
    <xf numFmtId="0" fontId="18" fillId="0" borderId="0" xfId="2" applyFont="1" applyFill="1" applyAlignment="1" applyProtection="1">
      <alignment horizontal="left"/>
      <protection locked="0"/>
    </xf>
    <xf numFmtId="43" fontId="4" fillId="0" borderId="0" xfId="6" applyFont="1" applyFill="1"/>
    <xf numFmtId="3" fontId="3" fillId="0" borderId="1" xfId="2" applyNumberFormat="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Protection="1">
      <protection locked="0"/>
    </xf>
    <xf numFmtId="0" fontId="18" fillId="0" borderId="0" xfId="0" applyFont="1" applyFill="1" applyProtection="1">
      <protection locked="0"/>
    </xf>
    <xf numFmtId="0" fontId="18" fillId="0" borderId="0" xfId="2" applyFont="1" applyFill="1" applyProtection="1"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5" fillId="0" borderId="1" xfId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>
      <alignment horizontal="right" vertical="center"/>
    </xf>
    <xf numFmtId="3" fontId="5" fillId="0" borderId="2" xfId="2" applyNumberFormat="1" applyFont="1" applyFill="1" applyBorder="1" applyAlignment="1" applyProtection="1">
      <alignment horizontal="right"/>
      <protection locked="0"/>
    </xf>
    <xf numFmtId="0" fontId="8" fillId="0" borderId="1" xfId="2" applyFont="1" applyFill="1" applyBorder="1" applyAlignment="1" applyProtection="1">
      <alignment horizontal="left"/>
      <protection locked="0"/>
    </xf>
    <xf numFmtId="43" fontId="0" fillId="0" borderId="0" xfId="6" applyFont="1" applyFill="1" applyAlignment="1">
      <alignment horizontal="left"/>
    </xf>
    <xf numFmtId="43" fontId="0" fillId="0" borderId="0" xfId="6" applyFont="1" applyFill="1" applyBorder="1" applyAlignment="1">
      <alignment horizontal="left"/>
    </xf>
    <xf numFmtId="3" fontId="18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4" applyFont="1" applyFill="1" applyBorder="1" applyAlignment="1" applyProtection="1">
      <alignment horizontal="left"/>
      <protection locked="0"/>
    </xf>
    <xf numFmtId="0" fontId="16" fillId="0" borderId="0" xfId="4" applyFont="1" applyFill="1" applyAlignment="1" applyProtection="1">
      <alignment horizontal="left"/>
      <protection locked="0"/>
    </xf>
    <xf numFmtId="0" fontId="5" fillId="0" borderId="1" xfId="4" applyFont="1" applyFill="1" applyBorder="1" applyAlignment="1" applyProtection="1">
      <alignment horizontal="left"/>
      <protection locked="0"/>
    </xf>
    <xf numFmtId="0" fontId="18" fillId="0" borderId="0" xfId="4" applyFont="1" applyFill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16" fillId="0" borderId="0" xfId="1" applyFont="1" applyFill="1" applyAlignment="1" applyProtection="1">
      <alignment horizontal="left"/>
      <protection locked="0"/>
    </xf>
    <xf numFmtId="0" fontId="18" fillId="0" borderId="0" xfId="1" applyFont="1" applyFill="1" applyAlignment="1" applyProtection="1">
      <alignment horizontal="left"/>
      <protection locked="0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center"/>
      <protection locked="0"/>
    </xf>
    <xf numFmtId="3" fontId="8" fillId="0" borderId="1" xfId="1" applyNumberFormat="1" applyFont="1" applyFill="1" applyBorder="1" applyAlignment="1" applyProtection="1">
      <alignment horizontal="right"/>
      <protection locked="0"/>
    </xf>
    <xf numFmtId="0" fontId="18" fillId="0" borderId="0" xfId="0" applyFont="1" applyFill="1" applyAlignment="1">
      <alignment horizontal="center"/>
    </xf>
  </cellXfs>
  <cellStyles count="8">
    <cellStyle name="Comma 2" xfId="7" xr:uid="{68AF3142-48B6-46A0-9B66-4AC016C8CCBB}"/>
    <cellStyle name="Koma" xfId="6" builtinId="3"/>
    <cellStyle name="Normaallaad" xfId="0" builtinId="0"/>
    <cellStyle name="Normaallaad 2" xfId="5" xr:uid="{625F7053-1720-45B8-BC60-DA405838C2BD}"/>
    <cellStyle name="Normal 10 2" xfId="1" xr:uid="{D70F4CDE-1FE7-448C-B78C-16802263EF7D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Q80"/>
  <sheetViews>
    <sheetView tabSelected="1" zoomScale="90" zoomScaleNormal="90" workbookViewId="0">
      <selection activeCell="B1" sqref="B1"/>
    </sheetView>
  </sheetViews>
  <sheetFormatPr defaultRowHeight="14.5" x14ac:dyDescent="0.35"/>
  <cols>
    <col min="1" max="1" width="7.453125" style="66" customWidth="1"/>
    <col min="2" max="2" width="41.7265625" style="66" customWidth="1"/>
    <col min="3" max="7" width="22" style="67" customWidth="1"/>
    <col min="8" max="8" width="19.7265625" style="94" customWidth="1"/>
    <col min="9" max="9" width="18.81640625" style="94" bestFit="1" customWidth="1"/>
    <col min="10" max="11" width="18.81640625" style="34" customWidth="1"/>
    <col min="12" max="12" width="44.54296875" style="96" customWidth="1"/>
    <col min="13" max="13" width="13.453125" style="96" bestFit="1" customWidth="1"/>
    <col min="14" max="14" width="13.453125" style="96" customWidth="1"/>
    <col min="15" max="15" width="13" style="96" customWidth="1"/>
    <col min="16" max="16" width="13.54296875" style="96" customWidth="1"/>
    <col min="17" max="17" width="13.7265625" style="96" customWidth="1"/>
    <col min="18" max="16384" width="8.7265625" style="66"/>
  </cols>
  <sheetData>
    <row r="1" spans="1:17" ht="15.5" x14ac:dyDescent="0.35">
      <c r="A1" s="91" t="s">
        <v>104</v>
      </c>
      <c r="C1" s="92"/>
      <c r="E1" s="82"/>
      <c r="F1" s="82"/>
      <c r="G1" s="93"/>
      <c r="L1" s="95"/>
    </row>
    <row r="2" spans="1:17" ht="15.5" x14ac:dyDescent="0.35">
      <c r="A2" s="66" t="s">
        <v>0</v>
      </c>
      <c r="C2" s="92"/>
      <c r="G2" s="93"/>
    </row>
    <row r="3" spans="1:17" ht="30.5" x14ac:dyDescent="0.35">
      <c r="A3" s="62"/>
      <c r="B3" s="62"/>
      <c r="C3" s="71" t="s">
        <v>1</v>
      </c>
      <c r="D3" s="71" t="s">
        <v>2</v>
      </c>
      <c r="E3" s="71" t="s">
        <v>105</v>
      </c>
      <c r="F3" s="71" t="s">
        <v>97</v>
      </c>
      <c r="G3" s="71" t="s">
        <v>3</v>
      </c>
      <c r="M3" s="97"/>
      <c r="N3" s="97"/>
      <c r="O3" s="97"/>
      <c r="P3" s="97"/>
      <c r="Q3" s="97"/>
    </row>
    <row r="4" spans="1:17" ht="15.5" x14ac:dyDescent="0.35">
      <c r="A4" s="72" t="s">
        <v>81</v>
      </c>
      <c r="B4" s="72"/>
      <c r="C4" s="55"/>
      <c r="D4" s="98"/>
      <c r="E4" s="99"/>
      <c r="F4" s="99"/>
      <c r="G4" s="53"/>
      <c r="L4" s="100"/>
      <c r="M4" s="101"/>
      <c r="N4" s="101"/>
      <c r="O4" s="101"/>
      <c r="P4" s="101"/>
      <c r="Q4" s="101"/>
    </row>
    <row r="5" spans="1:17" ht="15.5" x14ac:dyDescent="0.35">
      <c r="A5" s="72" t="s">
        <v>15</v>
      </c>
      <c r="B5" s="72"/>
      <c r="C5" s="55">
        <f t="shared" ref="C5:E5" si="0">SUM(C6:C11)</f>
        <v>134419038</v>
      </c>
      <c r="D5" s="55">
        <f t="shared" si="0"/>
        <v>134419038</v>
      </c>
      <c r="E5" s="55">
        <f t="shared" si="0"/>
        <v>89568447.219999999</v>
      </c>
      <c r="F5" s="55">
        <f t="shared" ref="F5" si="1">SUM(F6:F11)</f>
        <v>52809198.369999997</v>
      </c>
      <c r="G5" s="55">
        <f>SUM(G6:G11)</f>
        <v>-44850590.779999986</v>
      </c>
      <c r="L5" s="100"/>
      <c r="M5" s="102"/>
      <c r="N5" s="102"/>
      <c r="O5" s="102"/>
      <c r="P5" s="102"/>
      <c r="Q5" s="102"/>
    </row>
    <row r="6" spans="1:17" ht="15.5" x14ac:dyDescent="0.35">
      <c r="A6" s="103"/>
      <c r="B6" s="56" t="s">
        <v>5</v>
      </c>
      <c r="C6" s="47">
        <v>30240770</v>
      </c>
      <c r="D6" s="47">
        <f>C6</f>
        <v>30240770</v>
      </c>
      <c r="E6" s="47">
        <v>32127802.440000001</v>
      </c>
      <c r="F6" s="47">
        <v>31706829.75</v>
      </c>
      <c r="G6" s="57">
        <f t="shared" ref="G6:G11" si="2">E6-D6</f>
        <v>1887032.4400000013</v>
      </c>
      <c r="H6" s="104"/>
      <c r="I6" s="29"/>
      <c r="L6" s="105"/>
      <c r="M6" s="101"/>
      <c r="N6" s="101"/>
      <c r="O6" s="101"/>
      <c r="P6" s="101"/>
      <c r="Q6" s="101"/>
    </row>
    <row r="7" spans="1:17" ht="15.5" x14ac:dyDescent="0.35">
      <c r="A7" s="103"/>
      <c r="B7" s="56" t="s">
        <v>6</v>
      </c>
      <c r="C7" s="47">
        <v>9005255</v>
      </c>
      <c r="D7" s="47">
        <f t="shared" ref="D7:D11" si="3">C7</f>
        <v>9005255</v>
      </c>
      <c r="E7" s="47">
        <f>16189547.64+1539.58-6733.12</f>
        <v>16184354.100000001</v>
      </c>
      <c r="F7" s="47">
        <f>6338309.47+1486.71-1442.68</f>
        <v>6338353.5</v>
      </c>
      <c r="G7" s="57">
        <f t="shared" si="2"/>
        <v>7179099.1000000015</v>
      </c>
      <c r="H7" s="47"/>
      <c r="I7" s="29"/>
      <c r="L7" s="105"/>
      <c r="M7" s="101"/>
      <c r="N7" s="101"/>
      <c r="O7" s="101"/>
      <c r="P7" s="101"/>
      <c r="Q7" s="101"/>
    </row>
    <row r="8" spans="1:17" ht="15.5" x14ac:dyDescent="0.35">
      <c r="A8" s="103"/>
      <c r="B8" s="56" t="s">
        <v>4</v>
      </c>
      <c r="C8" s="47">
        <v>85609379</v>
      </c>
      <c r="D8" s="47">
        <f t="shared" si="3"/>
        <v>85609379</v>
      </c>
      <c r="E8" s="47">
        <f>52311511.5-6906318.65-204154.76-14744627.8</f>
        <v>30456410.290000003</v>
      </c>
      <c r="F8" s="47">
        <f>4440273.25-1073416.11-221883.12</f>
        <v>3144974.0199999996</v>
      </c>
      <c r="G8" s="57">
        <f t="shared" si="2"/>
        <v>-55152968.709999993</v>
      </c>
      <c r="H8" s="106"/>
      <c r="I8" s="29"/>
      <c r="L8" s="105"/>
      <c r="M8" s="101"/>
      <c r="N8" s="101"/>
      <c r="O8" s="101"/>
      <c r="P8" s="101"/>
      <c r="Q8" s="101"/>
    </row>
    <row r="9" spans="1:17" ht="15.5" x14ac:dyDescent="0.35">
      <c r="A9" s="103"/>
      <c r="B9" s="56" t="s">
        <v>7</v>
      </c>
      <c r="C9" s="47">
        <v>0</v>
      </c>
      <c r="D9" s="47">
        <f t="shared" si="3"/>
        <v>0</v>
      </c>
      <c r="E9" s="47">
        <v>2202.8000000000002</v>
      </c>
      <c r="F9" s="47">
        <v>1685.5</v>
      </c>
      <c r="G9" s="57">
        <f t="shared" si="2"/>
        <v>2202.8000000000002</v>
      </c>
      <c r="H9" s="29"/>
      <c r="I9" s="29"/>
      <c r="L9" s="105"/>
      <c r="M9" s="101"/>
      <c r="N9" s="101"/>
      <c r="O9" s="101"/>
      <c r="P9" s="101"/>
      <c r="Q9" s="101"/>
    </row>
    <row r="10" spans="1:17" ht="15.5" x14ac:dyDescent="0.35">
      <c r="A10" s="103"/>
      <c r="B10" s="56" t="s">
        <v>8</v>
      </c>
      <c r="C10" s="47">
        <v>857670</v>
      </c>
      <c r="D10" s="47">
        <f t="shared" si="3"/>
        <v>857670</v>
      </c>
      <c r="E10" s="47">
        <v>3823047.21</v>
      </c>
      <c r="F10" s="47">
        <v>4451348.3899999997</v>
      </c>
      <c r="G10" s="57">
        <f t="shared" si="2"/>
        <v>2965377.21</v>
      </c>
      <c r="H10" s="29"/>
      <c r="I10" s="29"/>
      <c r="L10" s="105"/>
      <c r="M10" s="101"/>
      <c r="N10" s="101"/>
      <c r="O10" s="101"/>
      <c r="P10" s="101"/>
      <c r="Q10" s="101"/>
    </row>
    <row r="11" spans="1:17" ht="15.5" x14ac:dyDescent="0.35">
      <c r="A11" s="103"/>
      <c r="B11" s="56" t="s">
        <v>61</v>
      </c>
      <c r="C11" s="47">
        <v>8705964</v>
      </c>
      <c r="D11" s="47">
        <f t="shared" si="3"/>
        <v>8705964</v>
      </c>
      <c r="E11" s="47">
        <f>5600912.17+1373282.13+436.08</f>
        <v>6974630.3799999999</v>
      </c>
      <c r="F11" s="47">
        <f>5657833.49+1507781.88+391.84</f>
        <v>7166007.21</v>
      </c>
      <c r="G11" s="57">
        <f t="shared" si="2"/>
        <v>-1731333.62</v>
      </c>
      <c r="H11" s="29"/>
      <c r="I11" s="29"/>
      <c r="L11" s="105"/>
      <c r="M11" s="101"/>
      <c r="N11" s="101"/>
      <c r="O11" s="101"/>
      <c r="P11" s="101"/>
      <c r="Q11" s="101"/>
    </row>
    <row r="12" spans="1:17" ht="15.5" x14ac:dyDescent="0.35">
      <c r="A12" s="72" t="s">
        <v>10</v>
      </c>
      <c r="B12" s="72"/>
      <c r="C12" s="55">
        <f>C14+C30+C50+C74</f>
        <v>-390306831</v>
      </c>
      <c r="D12" s="55">
        <f>D14+D30+D50+D74</f>
        <v>-439808045.72999996</v>
      </c>
      <c r="E12" s="107">
        <f>E14+E30+E50+E74</f>
        <v>-338523965.65000004</v>
      </c>
      <c r="F12" s="55">
        <f>F14+F30+F50+F74</f>
        <v>-225307619.23000002</v>
      </c>
      <c r="G12" s="55">
        <f>G14+G30+G50+G74</f>
        <v>101284080.07999997</v>
      </c>
      <c r="L12" s="100"/>
      <c r="M12" s="102"/>
      <c r="N12" s="102"/>
      <c r="O12" s="102"/>
      <c r="P12" s="102"/>
      <c r="Q12" s="102"/>
    </row>
    <row r="13" spans="1:17" ht="15.5" x14ac:dyDescent="0.35">
      <c r="A13" s="103"/>
      <c r="B13" s="56" t="s">
        <v>9</v>
      </c>
      <c r="C13" s="47">
        <f>C15+C31+C75</f>
        <v>-227275162</v>
      </c>
      <c r="D13" s="47">
        <f>D15+D31+D75</f>
        <v>-250041622.47999999</v>
      </c>
      <c r="E13" s="52">
        <f>E15+E31+E75</f>
        <v>-229998219.47</v>
      </c>
      <c r="F13" s="47">
        <f>F15+F31+F75</f>
        <v>-168131343.09</v>
      </c>
      <c r="G13" s="47">
        <f>G15+G31+G75</f>
        <v>20043403.010000009</v>
      </c>
      <c r="L13" s="105"/>
      <c r="M13" s="101"/>
      <c r="N13" s="101"/>
      <c r="O13" s="101"/>
      <c r="P13" s="101"/>
      <c r="Q13" s="101"/>
    </row>
    <row r="14" spans="1:17" ht="15.5" x14ac:dyDescent="0.35">
      <c r="A14" s="72" t="s">
        <v>24</v>
      </c>
      <c r="B14" s="72"/>
      <c r="C14" s="55">
        <f>C16</f>
        <v>-207534968</v>
      </c>
      <c r="D14" s="55">
        <f t="shared" ref="D14:E15" si="4">D16</f>
        <v>-279399108.44999999</v>
      </c>
      <c r="E14" s="55">
        <f t="shared" si="4"/>
        <v>-215641449.11000001</v>
      </c>
      <c r="F14" s="55">
        <f t="shared" ref="F14" si="5">F16</f>
        <v>-215421972.38000003</v>
      </c>
      <c r="G14" s="55">
        <f t="shared" ref="G14" si="6">G16</f>
        <v>63757659.339999989</v>
      </c>
      <c r="L14" s="100"/>
      <c r="M14" s="102"/>
      <c r="N14" s="102"/>
      <c r="O14" s="102"/>
      <c r="P14" s="102"/>
      <c r="Q14" s="102"/>
    </row>
    <row r="15" spans="1:17" ht="15.5" x14ac:dyDescent="0.35">
      <c r="A15" s="72"/>
      <c r="B15" s="56" t="s">
        <v>9</v>
      </c>
      <c r="C15" s="47">
        <f>C17</f>
        <v>-160208820</v>
      </c>
      <c r="D15" s="47">
        <f t="shared" si="4"/>
        <v>-168456916.28999999</v>
      </c>
      <c r="E15" s="47">
        <f t="shared" si="4"/>
        <v>-164097442.90000001</v>
      </c>
      <c r="F15" s="47">
        <f t="shared" ref="F15" si="7">F17</f>
        <v>-168131343.09</v>
      </c>
      <c r="G15" s="47">
        <f t="shared" ref="G15" si="8">G17</f>
        <v>4359473.3900000006</v>
      </c>
      <c r="L15" s="105"/>
      <c r="M15" s="101"/>
      <c r="N15" s="101"/>
      <c r="O15" s="101"/>
      <c r="P15" s="101"/>
      <c r="Q15" s="101"/>
    </row>
    <row r="16" spans="1:17" ht="15.5" x14ac:dyDescent="0.35">
      <c r="A16" s="72" t="s">
        <v>121</v>
      </c>
      <c r="B16" s="72"/>
      <c r="C16" s="55">
        <f>C18+C20+C22+C24+C26+C28</f>
        <v>-207534968</v>
      </c>
      <c r="D16" s="55">
        <f t="shared" ref="D16:E17" si="9">D18+D20+D22+D24+D26+D28</f>
        <v>-279399108.44999999</v>
      </c>
      <c r="E16" s="55">
        <f t="shared" si="9"/>
        <v>-215641449.11000001</v>
      </c>
      <c r="F16" s="55">
        <f t="shared" ref="F16" si="10">F18+F20+F22+F24+F26+F28</f>
        <v>-215421972.38000003</v>
      </c>
      <c r="G16" s="55">
        <f t="shared" ref="G16" si="11">G18+G20+G22+G24+G26+G28</f>
        <v>63757659.339999989</v>
      </c>
      <c r="L16" s="100"/>
      <c r="M16" s="102"/>
      <c r="N16" s="102"/>
      <c r="O16" s="102"/>
      <c r="P16" s="102"/>
      <c r="Q16" s="102"/>
    </row>
    <row r="17" spans="1:17" ht="15.5" x14ac:dyDescent="0.35">
      <c r="A17" s="72"/>
      <c r="B17" s="56" t="s">
        <v>9</v>
      </c>
      <c r="C17" s="47">
        <f>C19+C21+C23+C25+C27+C29</f>
        <v>-160208820</v>
      </c>
      <c r="D17" s="47">
        <f t="shared" si="9"/>
        <v>-168456916.28999999</v>
      </c>
      <c r="E17" s="47">
        <f t="shared" si="9"/>
        <v>-164097442.90000001</v>
      </c>
      <c r="F17" s="47">
        <f t="shared" ref="F17" si="12">F19+F21+F23+F25+F27+F29</f>
        <v>-168131343.09</v>
      </c>
      <c r="G17" s="47">
        <f t="shared" ref="G17" si="13">G19+G21+G23+G25+G27+G29</f>
        <v>4359473.3900000006</v>
      </c>
      <c r="L17" s="105"/>
      <c r="M17" s="101"/>
      <c r="N17" s="101"/>
      <c r="O17" s="101"/>
      <c r="P17" s="101"/>
      <c r="Q17" s="101"/>
    </row>
    <row r="18" spans="1:17" ht="15.5" x14ac:dyDescent="0.35">
      <c r="A18" s="108" t="s">
        <v>120</v>
      </c>
      <c r="B18" s="56"/>
      <c r="C18" s="47">
        <f>LISA!D27</f>
        <v>-8221095</v>
      </c>
      <c r="D18" s="47">
        <f>LISA!E27</f>
        <v>-10652455</v>
      </c>
      <c r="E18" s="47">
        <f>LISA!F27</f>
        <v>-9754905</v>
      </c>
      <c r="F18" s="47">
        <v>-7890200.2999999998</v>
      </c>
      <c r="G18" s="57">
        <f t="shared" ref="G18:G29" si="14">E18-D18</f>
        <v>897550</v>
      </c>
      <c r="H18" s="29"/>
      <c r="I18" s="29"/>
      <c r="L18" s="109"/>
      <c r="M18" s="101"/>
      <c r="N18" s="101"/>
      <c r="O18" s="101"/>
      <c r="P18" s="101"/>
      <c r="Q18" s="101"/>
    </row>
    <row r="19" spans="1:17" ht="15.5" x14ac:dyDescent="0.35">
      <c r="A19" s="108"/>
      <c r="B19" s="56" t="s">
        <v>9</v>
      </c>
      <c r="C19" s="47">
        <f>LISA!D28</f>
        <v>-8113630</v>
      </c>
      <c r="D19" s="47">
        <f>LISA!E28</f>
        <v>-9648493</v>
      </c>
      <c r="E19" s="47">
        <f>LISA!F28</f>
        <v>-9035509</v>
      </c>
      <c r="F19" s="47">
        <v>-7617422.6500000004</v>
      </c>
      <c r="G19" s="57">
        <f t="shared" si="14"/>
        <v>612984</v>
      </c>
      <c r="H19" s="29"/>
      <c r="I19" s="29"/>
      <c r="L19" s="105"/>
      <c r="M19" s="101"/>
      <c r="N19" s="101"/>
      <c r="O19" s="101"/>
      <c r="P19" s="101"/>
      <c r="Q19" s="101"/>
    </row>
    <row r="20" spans="1:17" ht="15.5" x14ac:dyDescent="0.35">
      <c r="A20" s="108" t="s">
        <v>126</v>
      </c>
      <c r="B20" s="56"/>
      <c r="C20" s="47">
        <f>LISA!D96</f>
        <v>-12888631</v>
      </c>
      <c r="D20" s="47">
        <f>LISA!E96</f>
        <v>-15735535</v>
      </c>
      <c r="E20" s="47">
        <f>LISA!F96</f>
        <v>-12591929</v>
      </c>
      <c r="F20" s="47">
        <v>-4630913.57</v>
      </c>
      <c r="G20" s="57">
        <f t="shared" si="14"/>
        <v>3143606</v>
      </c>
      <c r="H20" s="29"/>
      <c r="I20" s="29"/>
      <c r="L20" s="109"/>
      <c r="M20" s="101"/>
      <c r="N20" s="101"/>
      <c r="O20" s="101"/>
      <c r="P20" s="101"/>
      <c r="Q20" s="101"/>
    </row>
    <row r="21" spans="1:17" ht="15.5" x14ac:dyDescent="0.35">
      <c r="A21" s="108"/>
      <c r="B21" s="56" t="s">
        <v>9</v>
      </c>
      <c r="C21" s="47">
        <f>LISA!D97</f>
        <v>-9610362</v>
      </c>
      <c r="D21" s="47">
        <f>LISA!E97</f>
        <v>-10237254</v>
      </c>
      <c r="E21" s="47">
        <f>LISA!F97</f>
        <v>-9881356</v>
      </c>
      <c r="F21" s="47">
        <v>-2076177.69</v>
      </c>
      <c r="G21" s="57">
        <f t="shared" si="14"/>
        <v>355898</v>
      </c>
      <c r="H21" s="29"/>
      <c r="I21" s="29"/>
      <c r="L21" s="105"/>
      <c r="M21" s="101"/>
      <c r="N21" s="101"/>
      <c r="O21" s="101"/>
      <c r="P21" s="101"/>
      <c r="Q21" s="101"/>
    </row>
    <row r="22" spans="1:17" ht="15.5" x14ac:dyDescent="0.35">
      <c r="A22" s="108" t="s">
        <v>88</v>
      </c>
      <c r="B22" s="56"/>
      <c r="C22" s="47">
        <f>LISA!D174</f>
        <v>-36331867</v>
      </c>
      <c r="D22" s="47">
        <f>LISA!E174</f>
        <v>-88914924</v>
      </c>
      <c r="E22" s="47">
        <f>LISA!F174</f>
        <v>-36944939</v>
      </c>
      <c r="F22" s="47">
        <v>-38713964.210000001</v>
      </c>
      <c r="G22" s="57">
        <f t="shared" si="14"/>
        <v>51969985</v>
      </c>
      <c r="H22" s="29"/>
      <c r="I22" s="29"/>
      <c r="L22" s="109"/>
      <c r="M22" s="101"/>
      <c r="N22" s="101"/>
      <c r="O22" s="101"/>
      <c r="P22" s="101"/>
      <c r="Q22" s="101"/>
    </row>
    <row r="23" spans="1:17" ht="15.5" x14ac:dyDescent="0.35">
      <c r="A23" s="108"/>
      <c r="B23" s="56" t="s">
        <v>9</v>
      </c>
      <c r="C23" s="47">
        <f>LISA!D175</f>
        <v>-24453665</v>
      </c>
      <c r="D23" s="47">
        <f>LISA!E175</f>
        <v>-24496128</v>
      </c>
      <c r="E23" s="47">
        <f>LISA!F175</f>
        <v>-23592401</v>
      </c>
      <c r="F23" s="47">
        <v>-26302862.379999999</v>
      </c>
      <c r="G23" s="57">
        <f t="shared" si="14"/>
        <v>903727</v>
      </c>
      <c r="H23" s="29"/>
      <c r="I23" s="29"/>
      <c r="L23" s="105"/>
      <c r="M23" s="101"/>
      <c r="N23" s="101"/>
      <c r="O23" s="101"/>
      <c r="P23" s="101"/>
      <c r="Q23" s="101"/>
    </row>
    <row r="24" spans="1:17" ht="15.5" x14ac:dyDescent="0.35">
      <c r="A24" s="108" t="s">
        <v>79</v>
      </c>
      <c r="B24" s="56"/>
      <c r="C24" s="47">
        <f>LISA!D262</f>
        <v>-71727870</v>
      </c>
      <c r="D24" s="47">
        <f>LISA!E262</f>
        <v>-79101088</v>
      </c>
      <c r="E24" s="47">
        <f>LISA!F262</f>
        <v>-76458414</v>
      </c>
      <c r="F24" s="47">
        <v>-77891852.890000001</v>
      </c>
      <c r="G24" s="57">
        <f t="shared" si="14"/>
        <v>2642674</v>
      </c>
      <c r="H24" s="29"/>
      <c r="I24" s="29"/>
      <c r="L24" s="109"/>
      <c r="M24" s="101"/>
      <c r="N24" s="101"/>
      <c r="O24" s="101"/>
      <c r="P24" s="101"/>
      <c r="Q24" s="101"/>
    </row>
    <row r="25" spans="1:17" ht="15.5" x14ac:dyDescent="0.35">
      <c r="A25" s="108"/>
      <c r="B25" s="56" t="s">
        <v>9</v>
      </c>
      <c r="C25" s="47">
        <f>LISA!D263</f>
        <v>-69600151</v>
      </c>
      <c r="D25" s="47">
        <f>LISA!E263</f>
        <v>-72311729</v>
      </c>
      <c r="E25" s="47">
        <f>LISA!F263</f>
        <v>-71292126</v>
      </c>
      <c r="F25" s="47">
        <v>-74643995.650000006</v>
      </c>
      <c r="G25" s="57">
        <f t="shared" si="14"/>
        <v>1019603</v>
      </c>
      <c r="H25" s="29"/>
      <c r="I25" s="29"/>
      <c r="L25" s="105"/>
      <c r="M25" s="101"/>
      <c r="N25" s="101"/>
      <c r="O25" s="101"/>
      <c r="P25" s="101"/>
      <c r="Q25" s="101"/>
    </row>
    <row r="26" spans="1:17" ht="15.5" x14ac:dyDescent="0.35">
      <c r="A26" s="108" t="s">
        <v>118</v>
      </c>
      <c r="B26" s="56"/>
      <c r="C26" s="47">
        <f>LISA!D328</f>
        <v>-76426058</v>
      </c>
      <c r="D26" s="47">
        <f>LISA!E328</f>
        <v>-81438098.450000003</v>
      </c>
      <c r="E26" s="52">
        <f>LISA!F328</f>
        <v>-77536396.110000014</v>
      </c>
      <c r="F26" s="47">
        <v>-84106413.510000005</v>
      </c>
      <c r="G26" s="57">
        <f t="shared" si="14"/>
        <v>3901702.3399999887</v>
      </c>
      <c r="H26" s="29"/>
      <c r="I26" s="29"/>
      <c r="L26" s="109"/>
      <c r="M26" s="101"/>
      <c r="N26" s="101"/>
      <c r="O26" s="101"/>
      <c r="P26" s="101"/>
      <c r="Q26" s="101"/>
    </row>
    <row r="27" spans="1:17" ht="15.5" x14ac:dyDescent="0.35">
      <c r="A27" s="108"/>
      <c r="B27" s="56" t="s">
        <v>9</v>
      </c>
      <c r="C27" s="47">
        <f>LISA!D329</f>
        <v>-46923347</v>
      </c>
      <c r="D27" s="47">
        <f>LISA!E329</f>
        <v>-50047829.289999999</v>
      </c>
      <c r="E27" s="47">
        <f>LISA!F329</f>
        <v>-48621853.899999999</v>
      </c>
      <c r="F27" s="47">
        <v>-55616108.439999998</v>
      </c>
      <c r="G27" s="57">
        <f t="shared" si="14"/>
        <v>1425975.3900000006</v>
      </c>
      <c r="H27" s="29"/>
      <c r="I27" s="29"/>
      <c r="L27" s="105"/>
      <c r="M27" s="101"/>
      <c r="N27" s="101"/>
      <c r="O27" s="101"/>
      <c r="P27" s="101"/>
      <c r="Q27" s="101"/>
    </row>
    <row r="28" spans="1:17" ht="15.5" x14ac:dyDescent="0.35">
      <c r="A28" s="108" t="s">
        <v>119</v>
      </c>
      <c r="B28" s="56"/>
      <c r="C28" s="47">
        <f>LISA!D394</f>
        <v>-1939447</v>
      </c>
      <c r="D28" s="47">
        <f>LISA!E394</f>
        <v>-3557008</v>
      </c>
      <c r="E28" s="47">
        <f>LISA!F394</f>
        <v>-2354866</v>
      </c>
      <c r="F28" s="47">
        <v>-2188627.9</v>
      </c>
      <c r="G28" s="57">
        <f t="shared" si="14"/>
        <v>1202142</v>
      </c>
      <c r="H28" s="29"/>
      <c r="I28" s="29"/>
      <c r="L28" s="109"/>
      <c r="M28" s="101"/>
      <c r="N28" s="101"/>
      <c r="O28" s="101"/>
      <c r="P28" s="101"/>
      <c r="Q28" s="101"/>
    </row>
    <row r="29" spans="1:17" ht="15.5" x14ac:dyDescent="0.35">
      <c r="A29" s="103"/>
      <c r="B29" s="56" t="s">
        <v>9</v>
      </c>
      <c r="C29" s="47">
        <f>LISA!D395</f>
        <v>-1507665</v>
      </c>
      <c r="D29" s="47">
        <f>LISA!E395</f>
        <v>-1715483</v>
      </c>
      <c r="E29" s="47">
        <f>LISA!F395</f>
        <v>-1674197</v>
      </c>
      <c r="F29" s="47">
        <v>-1874776.28</v>
      </c>
      <c r="G29" s="57">
        <f t="shared" si="14"/>
        <v>41286</v>
      </c>
      <c r="H29" s="29"/>
      <c r="I29" s="29"/>
      <c r="L29" s="105"/>
      <c r="M29" s="101"/>
      <c r="N29" s="101"/>
      <c r="O29" s="101"/>
      <c r="P29" s="101"/>
      <c r="Q29" s="101"/>
    </row>
    <row r="30" spans="1:17" s="65" customFormat="1" ht="15.5" x14ac:dyDescent="0.35">
      <c r="A30" s="48" t="s">
        <v>89</v>
      </c>
      <c r="B30" s="48"/>
      <c r="C30" s="50">
        <f>C34+C36+C38+C40+C42+C44+C46+C48</f>
        <v>-159704486</v>
      </c>
      <c r="D30" s="50">
        <f t="shared" ref="D30:G31" si="15">D34+D36+D38+D40+D42+D44+D46+D48</f>
        <v>-139241955</v>
      </c>
      <c r="E30" s="50">
        <f t="shared" si="15"/>
        <v>-104990870</v>
      </c>
      <c r="F30" s="50">
        <f t="shared" si="15"/>
        <v>0</v>
      </c>
      <c r="G30" s="50">
        <f t="shared" si="15"/>
        <v>34251085</v>
      </c>
      <c r="H30" s="30"/>
      <c r="I30" s="30"/>
      <c r="J30" s="34"/>
      <c r="K30" s="34"/>
      <c r="L30" s="95"/>
      <c r="M30" s="102"/>
      <c r="N30" s="102"/>
      <c r="O30" s="102"/>
      <c r="P30" s="102"/>
      <c r="Q30" s="102"/>
    </row>
    <row r="31" spans="1:17" ht="15.5" x14ac:dyDescent="0.35">
      <c r="A31" s="77"/>
      <c r="B31" s="56" t="s">
        <v>9</v>
      </c>
      <c r="C31" s="57">
        <f>C35+C37+C39+C41+C43+C45+C47+C49</f>
        <v>-67066342</v>
      </c>
      <c r="D31" s="57">
        <f t="shared" ref="D31:E31" si="16">D35+D37+D39+D41+D43+D45+D47+D49</f>
        <v>-81584706</v>
      </c>
      <c r="E31" s="57">
        <f t="shared" si="16"/>
        <v>-65900777</v>
      </c>
      <c r="F31" s="57">
        <f t="shared" si="15"/>
        <v>0</v>
      </c>
      <c r="G31" s="57">
        <f t="shared" si="15"/>
        <v>15683929</v>
      </c>
      <c r="H31" s="29"/>
      <c r="I31" s="29"/>
      <c r="L31" s="110"/>
      <c r="M31" s="101"/>
      <c r="N31" s="101"/>
      <c r="O31" s="101"/>
      <c r="P31" s="101"/>
      <c r="Q31" s="101"/>
    </row>
    <row r="32" spans="1:17" s="65" customFormat="1" ht="15.5" x14ac:dyDescent="0.35">
      <c r="A32" s="48" t="s">
        <v>82</v>
      </c>
      <c r="B32" s="72"/>
      <c r="C32" s="50">
        <f>C34+C36+C38+C40+C42+C44+C46+C48</f>
        <v>-159704486</v>
      </c>
      <c r="D32" s="50">
        <f t="shared" ref="D32:G33" si="17">D34+D36+D38+D40+D42+D44+D46+D48</f>
        <v>-139241955</v>
      </c>
      <c r="E32" s="50">
        <f t="shared" si="17"/>
        <v>-104990870</v>
      </c>
      <c r="F32" s="50">
        <f t="shared" si="17"/>
        <v>0</v>
      </c>
      <c r="G32" s="50">
        <f t="shared" si="17"/>
        <v>34251085</v>
      </c>
      <c r="H32" s="30"/>
      <c r="I32" s="30"/>
      <c r="J32" s="34"/>
      <c r="K32" s="34"/>
      <c r="L32" s="95"/>
      <c r="M32" s="102"/>
      <c r="N32" s="102"/>
      <c r="O32" s="102"/>
      <c r="P32" s="102"/>
      <c r="Q32" s="102"/>
    </row>
    <row r="33" spans="1:17" s="65" customFormat="1" ht="15.5" x14ac:dyDescent="0.35">
      <c r="A33" s="48"/>
      <c r="B33" s="56" t="s">
        <v>9</v>
      </c>
      <c r="C33" s="57">
        <f>C35+C37+C39+C41+C43+C45+C47+C49</f>
        <v>-67066342</v>
      </c>
      <c r="D33" s="57">
        <f t="shared" ref="D33:E33" si="18">D35+D37+D39+D41+D43+D45+D47+D49</f>
        <v>-81584706</v>
      </c>
      <c r="E33" s="57">
        <f t="shared" si="18"/>
        <v>-65900777</v>
      </c>
      <c r="F33" s="57">
        <f t="shared" si="17"/>
        <v>0</v>
      </c>
      <c r="G33" s="57">
        <f t="shared" si="17"/>
        <v>15683929</v>
      </c>
      <c r="H33" s="30"/>
      <c r="I33" s="30"/>
      <c r="J33" s="34"/>
      <c r="K33" s="34"/>
      <c r="L33" s="110"/>
      <c r="M33" s="101"/>
      <c r="N33" s="101"/>
      <c r="O33" s="101"/>
      <c r="P33" s="101"/>
      <c r="Q33" s="101"/>
    </row>
    <row r="34" spans="1:17" ht="15.5" x14ac:dyDescent="0.35">
      <c r="A34" s="111" t="s">
        <v>83</v>
      </c>
      <c r="B34" s="112"/>
      <c r="C34" s="47">
        <f>LISA!D426</f>
        <v>-4994651</v>
      </c>
      <c r="D34" s="47">
        <f>LISA!E426</f>
        <v>-4513918</v>
      </c>
      <c r="E34" s="47">
        <f>LISA!F426</f>
        <v>-5060955</v>
      </c>
      <c r="F34" s="113">
        <v>0</v>
      </c>
      <c r="G34" s="47">
        <f t="shared" ref="G34:G49" si="19">E34-D34</f>
        <v>-547037</v>
      </c>
      <c r="H34" s="29"/>
      <c r="I34" s="29"/>
      <c r="L34" s="109"/>
      <c r="M34" s="101"/>
      <c r="N34" s="101"/>
      <c r="O34" s="101"/>
      <c r="P34" s="101"/>
      <c r="Q34" s="101"/>
    </row>
    <row r="35" spans="1:17" ht="15.5" x14ac:dyDescent="0.35">
      <c r="A35" s="111"/>
      <c r="B35" s="56" t="s">
        <v>9</v>
      </c>
      <c r="C35" s="47">
        <f>LISA!D427</f>
        <v>-1645587</v>
      </c>
      <c r="D35" s="47">
        <f>LISA!E427</f>
        <v>-2042405</v>
      </c>
      <c r="E35" s="47">
        <f>LISA!F427</f>
        <v>-1852534</v>
      </c>
      <c r="F35" s="113">
        <v>0</v>
      </c>
      <c r="G35" s="47">
        <f t="shared" si="19"/>
        <v>189871</v>
      </c>
      <c r="H35" s="29"/>
      <c r="I35" s="29"/>
      <c r="L35" s="110"/>
      <c r="M35" s="101"/>
      <c r="N35" s="101"/>
      <c r="O35" s="101"/>
      <c r="P35" s="101"/>
      <c r="Q35" s="101"/>
    </row>
    <row r="36" spans="1:17" ht="15.5" x14ac:dyDescent="0.35">
      <c r="A36" s="111" t="s">
        <v>84</v>
      </c>
      <c r="B36" s="112"/>
      <c r="C36" s="47">
        <f>LISA!D463</f>
        <v>-99524002</v>
      </c>
      <c r="D36" s="47">
        <f>LISA!E463</f>
        <v>-96937056</v>
      </c>
      <c r="E36" s="47">
        <f>LISA!F463</f>
        <v>-69931679</v>
      </c>
      <c r="F36" s="113">
        <v>0</v>
      </c>
      <c r="G36" s="47">
        <f t="shared" si="19"/>
        <v>27005377</v>
      </c>
      <c r="H36" s="29"/>
      <c r="I36" s="29"/>
      <c r="L36" s="109"/>
      <c r="M36" s="101"/>
      <c r="N36" s="101"/>
      <c r="O36" s="101"/>
      <c r="P36" s="101"/>
      <c r="Q36" s="101"/>
    </row>
    <row r="37" spans="1:17" ht="15.5" x14ac:dyDescent="0.35">
      <c r="A37" s="111"/>
      <c r="B37" s="56" t="s">
        <v>9</v>
      </c>
      <c r="C37" s="47">
        <f>LISA!D464</f>
        <v>-49818889</v>
      </c>
      <c r="D37" s="47">
        <f>LISA!E464</f>
        <v>-59877289</v>
      </c>
      <c r="E37" s="47">
        <f>LISA!F464</f>
        <v>-46133605</v>
      </c>
      <c r="F37" s="113">
        <v>0</v>
      </c>
      <c r="G37" s="47">
        <f t="shared" si="19"/>
        <v>13743684</v>
      </c>
      <c r="H37" s="29"/>
      <c r="I37" s="29"/>
      <c r="L37" s="110"/>
      <c r="M37" s="101"/>
      <c r="N37" s="101"/>
      <c r="O37" s="101"/>
      <c r="P37" s="101"/>
      <c r="Q37" s="101"/>
    </row>
    <row r="38" spans="1:17" ht="15.5" x14ac:dyDescent="0.35">
      <c r="A38" s="111" t="s">
        <v>90</v>
      </c>
      <c r="B38" s="112"/>
      <c r="C38" s="47">
        <f>LISA!D531</f>
        <v>-1711089</v>
      </c>
      <c r="D38" s="47">
        <f>LISA!E531</f>
        <v>-2786812</v>
      </c>
      <c r="E38" s="47">
        <f>LISA!F531</f>
        <v>-1606185</v>
      </c>
      <c r="F38" s="113">
        <v>0</v>
      </c>
      <c r="G38" s="47">
        <f t="shared" si="19"/>
        <v>1180627</v>
      </c>
      <c r="H38" s="29"/>
      <c r="I38" s="29"/>
      <c r="L38" s="109"/>
      <c r="M38" s="101"/>
      <c r="N38" s="101"/>
      <c r="O38" s="101"/>
      <c r="P38" s="101"/>
      <c r="Q38" s="101"/>
    </row>
    <row r="39" spans="1:17" ht="15.5" x14ac:dyDescent="0.35">
      <c r="A39" s="111"/>
      <c r="B39" s="56" t="s">
        <v>9</v>
      </c>
      <c r="C39" s="47">
        <f>LISA!D532</f>
        <v>-601039</v>
      </c>
      <c r="D39" s="47">
        <f>LISA!E532</f>
        <v>-1676762</v>
      </c>
      <c r="E39" s="47">
        <f>LISA!F532</f>
        <v>-1318482</v>
      </c>
      <c r="F39" s="113">
        <v>0</v>
      </c>
      <c r="G39" s="47">
        <f t="shared" si="19"/>
        <v>358280</v>
      </c>
      <c r="H39" s="29"/>
      <c r="I39" s="29"/>
      <c r="L39" s="110"/>
      <c r="M39" s="101"/>
      <c r="N39" s="101"/>
      <c r="O39" s="101"/>
      <c r="P39" s="101"/>
      <c r="Q39" s="101"/>
    </row>
    <row r="40" spans="1:17" ht="15.5" x14ac:dyDescent="0.35">
      <c r="A40" s="111" t="s">
        <v>91</v>
      </c>
      <c r="B40" s="112"/>
      <c r="C40" s="47">
        <f>LISA!D549</f>
        <v>-1539216</v>
      </c>
      <c r="D40" s="47">
        <f>LISA!E549</f>
        <v>-4877634</v>
      </c>
      <c r="E40" s="47">
        <f>LISA!F549</f>
        <v>-2148512</v>
      </c>
      <c r="F40" s="113">
        <v>0</v>
      </c>
      <c r="G40" s="47">
        <f t="shared" si="19"/>
        <v>2729122</v>
      </c>
      <c r="H40" s="29"/>
      <c r="I40" s="29"/>
      <c r="L40" s="109"/>
      <c r="M40" s="101"/>
      <c r="N40" s="101"/>
      <c r="O40" s="101"/>
      <c r="P40" s="101"/>
      <c r="Q40" s="101"/>
    </row>
    <row r="41" spans="1:17" ht="15.5" x14ac:dyDescent="0.35">
      <c r="A41" s="111"/>
      <c r="B41" s="56" t="s">
        <v>9</v>
      </c>
      <c r="C41" s="47">
        <f>LISA!D550</f>
        <v>-1433549</v>
      </c>
      <c r="D41" s="47">
        <f>LISA!E550</f>
        <v>-2018189</v>
      </c>
      <c r="E41" s="47">
        <f>LISA!F550</f>
        <v>-1529825</v>
      </c>
      <c r="F41" s="113">
        <v>0</v>
      </c>
      <c r="G41" s="47">
        <f t="shared" si="19"/>
        <v>488364</v>
      </c>
      <c r="H41" s="29"/>
      <c r="I41" s="29"/>
      <c r="L41" s="110"/>
      <c r="M41" s="101"/>
      <c r="N41" s="101"/>
      <c r="O41" s="101"/>
      <c r="P41" s="101"/>
      <c r="Q41" s="101"/>
    </row>
    <row r="42" spans="1:17" ht="15.5" x14ac:dyDescent="0.35">
      <c r="A42" s="111" t="s">
        <v>85</v>
      </c>
      <c r="B42" s="112"/>
      <c r="C42" s="47">
        <f>LISA!D583</f>
        <v>-15053672</v>
      </c>
      <c r="D42" s="47">
        <f>LISA!E583</f>
        <v>-20911003</v>
      </c>
      <c r="E42" s="47">
        <f>LISA!F583</f>
        <v>-17184683</v>
      </c>
      <c r="F42" s="114">
        <v>0</v>
      </c>
      <c r="G42" s="47">
        <f t="shared" si="19"/>
        <v>3726320</v>
      </c>
      <c r="H42" s="29"/>
      <c r="I42" s="29"/>
      <c r="L42" s="109"/>
      <c r="M42" s="101"/>
      <c r="N42" s="101"/>
      <c r="O42" s="101"/>
      <c r="P42" s="101"/>
      <c r="Q42" s="101"/>
    </row>
    <row r="43" spans="1:17" ht="15.5" x14ac:dyDescent="0.35">
      <c r="A43" s="111"/>
      <c r="B43" s="56" t="s">
        <v>9</v>
      </c>
      <c r="C43" s="47">
        <f>LISA!D584</f>
        <v>-12740422</v>
      </c>
      <c r="D43" s="47">
        <f>LISA!E584</f>
        <v>-14905245</v>
      </c>
      <c r="E43" s="47">
        <f>LISA!F584</f>
        <v>-14158191</v>
      </c>
      <c r="F43" s="52">
        <v>0</v>
      </c>
      <c r="G43" s="47">
        <f t="shared" si="19"/>
        <v>747054</v>
      </c>
      <c r="H43" s="29"/>
      <c r="I43" s="29"/>
      <c r="L43" s="110"/>
      <c r="M43" s="101"/>
      <c r="N43" s="101"/>
      <c r="O43" s="101"/>
      <c r="P43" s="101"/>
      <c r="Q43" s="101"/>
    </row>
    <row r="44" spans="1:17" ht="15.5" x14ac:dyDescent="0.35">
      <c r="A44" s="111" t="s">
        <v>143</v>
      </c>
      <c r="B44" s="112"/>
      <c r="C44" s="47">
        <f>LISA!D610</f>
        <v>-609931</v>
      </c>
      <c r="D44" s="47">
        <f>LISA!E610</f>
        <v>-786566</v>
      </c>
      <c r="E44" s="47">
        <f>LISA!F610</f>
        <v>-726352</v>
      </c>
      <c r="F44" s="52">
        <v>0</v>
      </c>
      <c r="G44" s="47">
        <f t="shared" si="19"/>
        <v>60214</v>
      </c>
      <c r="H44" s="29"/>
      <c r="I44" s="29"/>
      <c r="L44" s="109"/>
      <c r="M44" s="101"/>
      <c r="N44" s="101"/>
      <c r="O44" s="101"/>
      <c r="P44" s="101"/>
      <c r="Q44" s="101"/>
    </row>
    <row r="45" spans="1:17" ht="15.5" x14ac:dyDescent="0.35">
      <c r="A45" s="111"/>
      <c r="B45" s="56" t="s">
        <v>9</v>
      </c>
      <c r="C45" s="47">
        <f>LISA!D611</f>
        <v>-609931</v>
      </c>
      <c r="D45" s="47">
        <f>LISA!E611</f>
        <v>-786566</v>
      </c>
      <c r="E45" s="47">
        <f>LISA!F611</f>
        <v>-726352</v>
      </c>
      <c r="F45" s="52">
        <v>0</v>
      </c>
      <c r="G45" s="47">
        <f t="shared" si="19"/>
        <v>60214</v>
      </c>
      <c r="H45" s="29"/>
      <c r="I45" s="29"/>
      <c r="L45" s="110"/>
      <c r="M45" s="101"/>
      <c r="N45" s="101"/>
      <c r="O45" s="101"/>
      <c r="P45" s="101"/>
      <c r="Q45" s="101"/>
    </row>
    <row r="46" spans="1:17" ht="15.5" x14ac:dyDescent="0.35">
      <c r="A46" s="111" t="s">
        <v>145</v>
      </c>
      <c r="B46" s="112"/>
      <c r="C46" s="47">
        <f>LISA!D622</f>
        <v>-29444993</v>
      </c>
      <c r="D46" s="47">
        <f>LISA!E622</f>
        <v>-8322843</v>
      </c>
      <c r="E46" s="47">
        <f>LISA!F622</f>
        <v>-8274694</v>
      </c>
      <c r="F46" s="52">
        <v>0</v>
      </c>
      <c r="G46" s="47">
        <f t="shared" si="19"/>
        <v>48149</v>
      </c>
      <c r="H46" s="29"/>
      <c r="I46" s="29"/>
      <c r="L46" s="109"/>
      <c r="M46" s="101"/>
      <c r="N46" s="101"/>
      <c r="O46" s="101"/>
      <c r="P46" s="101"/>
      <c r="Q46" s="101"/>
    </row>
    <row r="47" spans="1:17" ht="15.5" x14ac:dyDescent="0.35">
      <c r="A47" s="111"/>
      <c r="B47" s="56" t="s">
        <v>9</v>
      </c>
      <c r="C47" s="47">
        <f>LISA!D623</f>
        <v>-109993</v>
      </c>
      <c r="D47" s="47">
        <f>LISA!E623</f>
        <v>-172127</v>
      </c>
      <c r="E47" s="47">
        <f>LISA!F623</f>
        <v>-123978</v>
      </c>
      <c r="F47" s="52">
        <v>0</v>
      </c>
      <c r="G47" s="47">
        <f t="shared" si="19"/>
        <v>48149</v>
      </c>
      <c r="H47" s="29"/>
      <c r="I47" s="29"/>
      <c r="L47" s="110"/>
      <c r="M47" s="101"/>
      <c r="N47" s="101"/>
      <c r="O47" s="101"/>
      <c r="P47" s="101"/>
      <c r="Q47" s="101"/>
    </row>
    <row r="48" spans="1:17" ht="15.5" x14ac:dyDescent="0.35">
      <c r="A48" s="111" t="s">
        <v>147</v>
      </c>
      <c r="B48" s="112"/>
      <c r="C48" s="47">
        <f>LISA!D643</f>
        <v>-6826932</v>
      </c>
      <c r="D48" s="47">
        <f>LISA!E643</f>
        <v>-106123</v>
      </c>
      <c r="E48" s="47">
        <f>LISA!F643</f>
        <v>-57810</v>
      </c>
      <c r="F48" s="52">
        <v>0</v>
      </c>
      <c r="G48" s="47">
        <f t="shared" si="19"/>
        <v>48313</v>
      </c>
      <c r="H48" s="29"/>
      <c r="I48" s="29"/>
      <c r="L48" s="109"/>
      <c r="M48" s="101"/>
      <c r="N48" s="101"/>
      <c r="O48" s="101"/>
      <c r="P48" s="101"/>
      <c r="Q48" s="101"/>
    </row>
    <row r="49" spans="1:17" ht="15.5" x14ac:dyDescent="0.35">
      <c r="A49" s="58"/>
      <c r="B49" s="56" t="s">
        <v>9</v>
      </c>
      <c r="C49" s="47">
        <f>LISA!D644</f>
        <v>-106932</v>
      </c>
      <c r="D49" s="47">
        <f>LISA!E644</f>
        <v>-106123</v>
      </c>
      <c r="E49" s="47">
        <f>LISA!F644</f>
        <v>-57810</v>
      </c>
      <c r="F49" s="52">
        <v>0</v>
      </c>
      <c r="G49" s="47">
        <f t="shared" si="19"/>
        <v>48313</v>
      </c>
      <c r="H49" s="29"/>
      <c r="I49" s="29"/>
      <c r="L49" s="110"/>
      <c r="M49" s="101"/>
      <c r="N49" s="101"/>
      <c r="O49" s="101"/>
      <c r="P49" s="101"/>
      <c r="Q49" s="101"/>
    </row>
    <row r="50" spans="1:17" ht="15.5" x14ac:dyDescent="0.35">
      <c r="A50" s="72" t="s">
        <v>58</v>
      </c>
      <c r="B50" s="72"/>
      <c r="C50" s="55">
        <f>LISA!D655</f>
        <v>-23067377</v>
      </c>
      <c r="D50" s="55">
        <f>LISA!E655</f>
        <v>-21166982.329999998</v>
      </c>
      <c r="E50" s="55">
        <f>LISA!F655</f>
        <v>-17891646.5</v>
      </c>
      <c r="F50" s="55">
        <v>-9885646.8499999996</v>
      </c>
      <c r="G50" s="55">
        <f>E50-D50</f>
        <v>3275335.8299999982</v>
      </c>
      <c r="L50" s="100"/>
      <c r="M50" s="102"/>
      <c r="N50" s="102"/>
      <c r="O50" s="102"/>
      <c r="P50" s="102"/>
      <c r="Q50" s="102"/>
    </row>
    <row r="51" spans="1:17" ht="15.5" x14ac:dyDescent="0.35">
      <c r="A51" s="72" t="s">
        <v>11</v>
      </c>
      <c r="B51" s="72"/>
      <c r="C51" s="55">
        <f>C53+C55+C57+C76</f>
        <v>-29292831</v>
      </c>
      <c r="D51" s="55">
        <f>D53+D55+D57+D76</f>
        <v>-32587353.41</v>
      </c>
      <c r="E51" s="55">
        <f t="shared" ref="E51:F51" si="20">E53+E55+E57+E76</f>
        <v>-21395492.930000003</v>
      </c>
      <c r="F51" s="55">
        <f t="shared" si="20"/>
        <v>-5262252.3100000005</v>
      </c>
      <c r="G51" s="55">
        <f>G53+G55+G57+G76</f>
        <v>11191860.479999997</v>
      </c>
      <c r="L51" s="100"/>
      <c r="M51" s="102"/>
      <c r="N51" s="102"/>
      <c r="O51" s="102"/>
      <c r="P51" s="102"/>
      <c r="Q51" s="102"/>
    </row>
    <row r="52" spans="1:17" s="119" customFormat="1" ht="15.5" x14ac:dyDescent="0.35">
      <c r="A52" s="115"/>
      <c r="B52" s="56" t="s">
        <v>9</v>
      </c>
      <c r="C52" s="47">
        <f>C54+C56+C77</f>
        <v>-10274543</v>
      </c>
      <c r="D52" s="47">
        <f>D54+D56+D77</f>
        <v>-14745194</v>
      </c>
      <c r="E52" s="47">
        <f>E54+E56+E77</f>
        <v>-10401004.140000001</v>
      </c>
      <c r="F52" s="47">
        <f>F54+F56+F77</f>
        <v>-2975981</v>
      </c>
      <c r="G52" s="47">
        <f>G54+G56+G77</f>
        <v>4344189.8599999994</v>
      </c>
      <c r="H52" s="116"/>
      <c r="I52" s="116"/>
      <c r="J52" s="117"/>
      <c r="K52" s="117"/>
      <c r="L52" s="105"/>
      <c r="M52" s="118"/>
      <c r="N52" s="118"/>
      <c r="O52" s="118"/>
      <c r="P52" s="118"/>
      <c r="Q52" s="118"/>
    </row>
    <row r="53" spans="1:17" s="119" customFormat="1" ht="15.5" x14ac:dyDescent="0.35">
      <c r="A53" s="115" t="s">
        <v>149</v>
      </c>
      <c r="B53" s="56"/>
      <c r="C53" s="47">
        <v>-24211092</v>
      </c>
      <c r="D53" s="47">
        <v>-25247871</v>
      </c>
      <c r="E53" s="47">
        <v>-16439309.119999999</v>
      </c>
      <c r="F53" s="47">
        <v>-1853736</v>
      </c>
      <c r="G53" s="57">
        <f t="shared" ref="G53:G59" si="21">E53-D53</f>
        <v>8808561.8800000008</v>
      </c>
      <c r="H53" s="116"/>
      <c r="I53" s="116"/>
      <c r="J53" s="117"/>
      <c r="K53" s="117"/>
      <c r="L53" s="105"/>
      <c r="M53" s="118"/>
      <c r="N53" s="118"/>
      <c r="O53" s="118"/>
      <c r="P53" s="118"/>
      <c r="Q53" s="118"/>
    </row>
    <row r="54" spans="1:17" s="119" customFormat="1" ht="15.5" x14ac:dyDescent="0.35">
      <c r="A54" s="115"/>
      <c r="B54" s="56" t="s">
        <v>9</v>
      </c>
      <c r="C54" s="47">
        <v>-10216253</v>
      </c>
      <c r="D54" s="47">
        <v>-12222208</v>
      </c>
      <c r="E54" s="47">
        <v>-9571987.5099999998</v>
      </c>
      <c r="F54" s="47">
        <v>-444223</v>
      </c>
      <c r="G54" s="57">
        <f t="shared" si="21"/>
        <v>2650220.4900000002</v>
      </c>
      <c r="H54" s="116"/>
      <c r="I54" s="116"/>
      <c r="J54" s="117"/>
      <c r="K54" s="117"/>
      <c r="L54" s="105"/>
      <c r="M54" s="118"/>
      <c r="N54" s="118"/>
      <c r="O54" s="118"/>
      <c r="P54" s="118"/>
      <c r="Q54" s="118"/>
    </row>
    <row r="55" spans="1:17" s="119" customFormat="1" ht="15.5" x14ac:dyDescent="0.35">
      <c r="A55" s="115" t="s">
        <v>75</v>
      </c>
      <c r="B55" s="56"/>
      <c r="C55" s="47">
        <v>-78290</v>
      </c>
      <c r="D55" s="47">
        <v>-2931621</v>
      </c>
      <c r="E55" s="47">
        <v>-1010337.72</v>
      </c>
      <c r="F55" s="47">
        <v>-2565974</v>
      </c>
      <c r="G55" s="57">
        <f t="shared" si="21"/>
        <v>1921283.28</v>
      </c>
      <c r="H55" s="116"/>
      <c r="I55" s="116"/>
      <c r="J55" s="117"/>
      <c r="K55" s="117"/>
      <c r="L55" s="105"/>
      <c r="M55" s="118"/>
      <c r="N55" s="118"/>
      <c r="O55" s="118"/>
      <c r="P55" s="118"/>
      <c r="Q55" s="118"/>
    </row>
    <row r="56" spans="1:17" s="119" customFormat="1" ht="15.5" x14ac:dyDescent="0.35">
      <c r="A56" s="115"/>
      <c r="B56" s="56" t="s">
        <v>9</v>
      </c>
      <c r="C56" s="47">
        <v>-58290</v>
      </c>
      <c r="D56" s="47">
        <v>-2522986</v>
      </c>
      <c r="E56" s="47">
        <v>-829017.06</v>
      </c>
      <c r="F56" s="47">
        <v>-2531758</v>
      </c>
      <c r="G56" s="57">
        <f t="shared" si="21"/>
        <v>1693968.94</v>
      </c>
      <c r="H56" s="116"/>
      <c r="I56" s="116"/>
      <c r="J56" s="117"/>
      <c r="K56" s="117"/>
      <c r="L56" s="105"/>
      <c r="M56" s="118"/>
      <c r="N56" s="118"/>
      <c r="O56" s="118"/>
      <c r="P56" s="118"/>
      <c r="Q56" s="118"/>
    </row>
    <row r="57" spans="1:17" s="119" customFormat="1" ht="15.5" x14ac:dyDescent="0.35">
      <c r="A57" s="115" t="s">
        <v>58</v>
      </c>
      <c r="B57" s="56"/>
      <c r="C57" s="47">
        <v>-5003449</v>
      </c>
      <c r="D57" s="47">
        <f>C57-262080+972000+389917-504249.09</f>
        <v>-4407861.09</v>
      </c>
      <c r="E57" s="47">
        <v>-3945846.25</v>
      </c>
      <c r="F57" s="47">
        <v>-842542.31</v>
      </c>
      <c r="G57" s="57">
        <f t="shared" ref="G57" si="22">E57-D57</f>
        <v>462014.83999999985</v>
      </c>
      <c r="H57" s="116"/>
      <c r="I57" s="116"/>
      <c r="J57" s="117"/>
      <c r="K57" s="117"/>
      <c r="L57" s="105"/>
      <c r="M57" s="118"/>
      <c r="N57" s="118"/>
      <c r="O57" s="118"/>
      <c r="P57" s="118"/>
      <c r="Q57" s="118"/>
    </row>
    <row r="58" spans="1:17" ht="15.5" x14ac:dyDescent="0.35">
      <c r="A58" s="120" t="s">
        <v>23</v>
      </c>
      <c r="B58" s="120"/>
      <c r="C58" s="55">
        <f t="shared" ref="C58:D58" si="23">C59</f>
        <v>0</v>
      </c>
      <c r="D58" s="55">
        <f t="shared" si="23"/>
        <v>0</v>
      </c>
      <c r="E58" s="55">
        <f>E59</f>
        <v>0</v>
      </c>
      <c r="F58" s="55">
        <f>F59</f>
        <v>585073.56999999995</v>
      </c>
      <c r="G58" s="55">
        <f t="shared" ref="G58" si="24">G59</f>
        <v>0</v>
      </c>
      <c r="L58" s="121"/>
      <c r="M58" s="102"/>
      <c r="N58" s="102"/>
      <c r="O58" s="102"/>
      <c r="P58" s="102"/>
      <c r="Q58" s="102"/>
    </row>
    <row r="59" spans="1:17" ht="15.5" x14ac:dyDescent="0.35">
      <c r="A59" s="122" t="s">
        <v>98</v>
      </c>
      <c r="B59" s="122"/>
      <c r="C59" s="47">
        <v>0</v>
      </c>
      <c r="D59" s="47">
        <v>0</v>
      </c>
      <c r="E59" s="47">
        <v>0</v>
      </c>
      <c r="F59" s="47">
        <v>585073.56999999995</v>
      </c>
      <c r="G59" s="57">
        <f t="shared" si="21"/>
        <v>0</v>
      </c>
      <c r="H59" s="29"/>
      <c r="I59" s="29"/>
      <c r="L59" s="123"/>
      <c r="M59" s="101"/>
      <c r="N59" s="101"/>
      <c r="O59" s="101"/>
      <c r="P59" s="101"/>
      <c r="Q59" s="101"/>
    </row>
    <row r="60" spans="1:17" ht="15.5" x14ac:dyDescent="0.35">
      <c r="A60" s="103"/>
      <c r="B60" s="56" t="s">
        <v>9</v>
      </c>
      <c r="C60" s="47">
        <v>0</v>
      </c>
      <c r="D60" s="47">
        <f t="shared" ref="D60:D61" si="25">C60</f>
        <v>0</v>
      </c>
      <c r="E60" s="52">
        <v>0</v>
      </c>
      <c r="F60" s="52">
        <v>0</v>
      </c>
      <c r="G60" s="47">
        <f t="shared" ref="G60:G61" si="26">E60-D60</f>
        <v>0</v>
      </c>
      <c r="H60" s="26"/>
      <c r="I60" s="34"/>
      <c r="L60" s="105"/>
      <c r="M60" s="101"/>
      <c r="N60" s="101"/>
      <c r="O60" s="101"/>
      <c r="P60" s="101"/>
      <c r="Q60" s="101"/>
    </row>
    <row r="61" spans="1:17" ht="15.5" x14ac:dyDescent="0.35">
      <c r="A61" s="103"/>
      <c r="B61" s="56" t="s">
        <v>70</v>
      </c>
      <c r="C61" s="47">
        <v>0</v>
      </c>
      <c r="D61" s="47">
        <f t="shared" si="25"/>
        <v>0</v>
      </c>
      <c r="E61" s="52">
        <v>0</v>
      </c>
      <c r="F61" s="52">
        <v>0</v>
      </c>
      <c r="G61" s="47">
        <f t="shared" si="26"/>
        <v>0</v>
      </c>
      <c r="H61" s="28"/>
      <c r="I61" s="34"/>
      <c r="L61" s="105"/>
      <c r="M61" s="101"/>
      <c r="N61" s="101"/>
      <c r="O61" s="101"/>
      <c r="P61" s="101"/>
      <c r="Q61" s="101"/>
    </row>
    <row r="62" spans="1:17" ht="15.5" x14ac:dyDescent="0.35">
      <c r="A62" s="124" t="s">
        <v>12</v>
      </c>
      <c r="B62" s="124"/>
      <c r="C62" s="55"/>
      <c r="D62" s="55"/>
      <c r="E62" s="55">
        <f>SUM(E63:E72)</f>
        <v>-14443286.570000002</v>
      </c>
      <c r="F62" s="55">
        <f>SUM(F63:F72)</f>
        <v>-9346717.370000001</v>
      </c>
      <c r="G62" s="55"/>
      <c r="L62" s="125"/>
      <c r="M62" s="102"/>
      <c r="N62" s="102"/>
      <c r="O62" s="102"/>
      <c r="P62" s="102"/>
      <c r="Q62" s="102"/>
    </row>
    <row r="63" spans="1:17" ht="15.5" x14ac:dyDescent="0.35">
      <c r="A63" s="103"/>
      <c r="B63" s="112" t="s">
        <v>25</v>
      </c>
      <c r="C63" s="47"/>
      <c r="D63" s="47"/>
      <c r="E63" s="47">
        <v>204154.76</v>
      </c>
      <c r="F63" s="47">
        <v>221883.12</v>
      </c>
      <c r="G63" s="47"/>
      <c r="L63" s="126"/>
      <c r="M63" s="101"/>
      <c r="N63" s="101"/>
      <c r="O63" s="101"/>
      <c r="P63" s="101"/>
      <c r="Q63" s="101"/>
    </row>
    <row r="64" spans="1:17" ht="15.5" x14ac:dyDescent="0.35">
      <c r="A64" s="103"/>
      <c r="B64" s="112" t="s">
        <v>66</v>
      </c>
      <c r="C64" s="47"/>
      <c r="D64" s="47"/>
      <c r="E64" s="47">
        <v>14744627.800000001</v>
      </c>
      <c r="F64" s="47">
        <v>0</v>
      </c>
      <c r="G64" s="47"/>
      <c r="L64" s="126"/>
      <c r="M64" s="101"/>
      <c r="N64" s="101"/>
      <c r="O64" s="101"/>
      <c r="P64" s="101"/>
      <c r="Q64" s="101"/>
    </row>
    <row r="65" spans="1:17" ht="15.5" x14ac:dyDescent="0.35">
      <c r="A65" s="103"/>
      <c r="B65" s="112" t="s">
        <v>67</v>
      </c>
      <c r="C65" s="47"/>
      <c r="D65" s="47"/>
      <c r="E65" s="47">
        <f>-6331391.33-14744627.8</f>
        <v>-21076019.130000003</v>
      </c>
      <c r="F65" s="47">
        <v>0</v>
      </c>
      <c r="G65" s="47"/>
      <c r="L65" s="126"/>
      <c r="M65" s="101"/>
      <c r="N65" s="101"/>
      <c r="O65" s="101"/>
      <c r="P65" s="101"/>
      <c r="Q65" s="101"/>
    </row>
    <row r="66" spans="1:17" ht="15.5" x14ac:dyDescent="0.35">
      <c r="A66" s="103"/>
      <c r="B66" s="127" t="s">
        <v>26</v>
      </c>
      <c r="C66" s="47"/>
      <c r="D66" s="47"/>
      <c r="E66" s="47">
        <v>0</v>
      </c>
      <c r="F66" s="47">
        <v>729137.51</v>
      </c>
      <c r="G66" s="47"/>
      <c r="L66" s="126"/>
      <c r="M66" s="101"/>
      <c r="N66" s="101"/>
      <c r="O66" s="101"/>
      <c r="P66" s="101"/>
      <c r="Q66" s="101"/>
    </row>
    <row r="67" spans="1:17" ht="15.5" x14ac:dyDescent="0.35">
      <c r="A67" s="128"/>
      <c r="B67" s="56" t="s">
        <v>17</v>
      </c>
      <c r="C67" s="129"/>
      <c r="D67" s="129"/>
      <c r="E67" s="129">
        <v>-3093548</v>
      </c>
      <c r="F67" s="129">
        <v>-3419403</v>
      </c>
      <c r="G67" s="53"/>
      <c r="L67" s="105"/>
      <c r="M67" s="101"/>
      <c r="N67" s="101"/>
      <c r="O67" s="101"/>
      <c r="P67" s="101"/>
      <c r="Q67" s="101"/>
    </row>
    <row r="68" spans="1:17" ht="15.5" x14ac:dyDescent="0.35">
      <c r="A68" s="128"/>
      <c r="B68" s="112" t="s">
        <v>16</v>
      </c>
      <c r="C68" s="129"/>
      <c r="D68" s="129"/>
      <c r="E68" s="129">
        <v>-5222502</v>
      </c>
      <c r="F68" s="129">
        <v>-6878335</v>
      </c>
      <c r="G68" s="53"/>
      <c r="L68" s="126"/>
      <c r="M68" s="101"/>
      <c r="N68" s="101"/>
      <c r="O68" s="101"/>
      <c r="P68" s="101"/>
      <c r="Q68" s="101"/>
    </row>
    <row r="69" spans="1:17" ht="15.5" x14ac:dyDescent="0.35">
      <c r="A69" s="128"/>
      <c r="B69" s="112" t="s">
        <v>21</v>
      </c>
      <c r="C69" s="129"/>
      <c r="D69" s="129"/>
      <c r="E69" s="129">
        <v>6733.12</v>
      </c>
      <c r="F69" s="129">
        <v>1442.68</v>
      </c>
      <c r="G69" s="53"/>
      <c r="L69" s="126"/>
      <c r="M69" s="101"/>
      <c r="N69" s="101"/>
      <c r="O69" s="101"/>
      <c r="P69" s="101"/>
      <c r="Q69" s="101"/>
    </row>
    <row r="70" spans="1:17" ht="15.5" x14ac:dyDescent="0.35">
      <c r="A70" s="128"/>
      <c r="B70" s="112" t="s">
        <v>22</v>
      </c>
      <c r="C70" s="129"/>
      <c r="D70" s="129"/>
      <c r="E70" s="129">
        <v>-6733.12</v>
      </c>
      <c r="F70" s="129">
        <v>-1442.68</v>
      </c>
      <c r="G70" s="53"/>
      <c r="L70" s="126"/>
      <c r="M70" s="101"/>
      <c r="N70" s="101"/>
      <c r="O70" s="101"/>
      <c r="P70" s="101"/>
      <c r="Q70" s="101"/>
    </row>
    <row r="71" spans="1:17" ht="15.5" x14ac:dyDescent="0.35">
      <c r="A71" s="128"/>
      <c r="B71" s="112" t="s">
        <v>86</v>
      </c>
      <c r="C71" s="129"/>
      <c r="D71" s="129"/>
      <c r="E71" s="52">
        <v>6201390.8499999996</v>
      </c>
      <c r="F71" s="52">
        <v>6139522.1100000003</v>
      </c>
      <c r="G71" s="53"/>
      <c r="L71" s="126"/>
      <c r="M71" s="101"/>
      <c r="N71" s="101"/>
      <c r="O71" s="101"/>
      <c r="P71" s="101"/>
      <c r="Q71" s="101"/>
    </row>
    <row r="72" spans="1:17" ht="15.5" x14ac:dyDescent="0.35">
      <c r="A72" s="128"/>
      <c r="B72" s="112" t="s">
        <v>103</v>
      </c>
      <c r="C72" s="129"/>
      <c r="D72" s="129"/>
      <c r="E72" s="52">
        <v>-6201390.8499999996</v>
      </c>
      <c r="F72" s="52">
        <v>-6139522.1100000003</v>
      </c>
      <c r="G72" s="53"/>
      <c r="L72" s="126"/>
      <c r="M72" s="101"/>
      <c r="N72" s="101"/>
      <c r="O72" s="101"/>
      <c r="P72" s="101"/>
      <c r="Q72" s="101"/>
    </row>
    <row r="73" spans="1:17" ht="15.5" x14ac:dyDescent="0.35">
      <c r="A73" s="48" t="s">
        <v>20</v>
      </c>
      <c r="B73" s="49"/>
      <c r="C73" s="50"/>
      <c r="D73" s="51"/>
      <c r="E73" s="52"/>
      <c r="F73" s="52"/>
      <c r="G73" s="53"/>
      <c r="L73" s="126"/>
      <c r="M73" s="101"/>
      <c r="N73" s="101"/>
      <c r="O73" s="101"/>
      <c r="P73" s="101"/>
      <c r="Q73" s="101"/>
    </row>
    <row r="74" spans="1:17" ht="15.5" x14ac:dyDescent="0.35">
      <c r="A74" s="54"/>
      <c r="B74" s="48" t="s">
        <v>18</v>
      </c>
      <c r="C74" s="50">
        <v>0</v>
      </c>
      <c r="D74" s="50">
        <f>-31870868.32-1975407-9435188.5-1647503.59-2546578.98+6965135+90777294-101668492.56+81438098-76426058+46389570</f>
        <v>4.9999997019767761E-2</v>
      </c>
      <c r="E74" s="50">
        <f>-1384803-326995392.44+6906318.65-17133351.65-6201390.85+14744627.8+6331391.33+6733.12+3093548+77536396+243095923</f>
        <v>-4.0000021457672119E-2</v>
      </c>
      <c r="F74" s="50">
        <v>0</v>
      </c>
      <c r="G74" s="55">
        <f>E74-D74</f>
        <v>-9.000001847743988E-2</v>
      </c>
      <c r="L74" s="126"/>
      <c r="M74" s="101"/>
      <c r="N74" s="101"/>
      <c r="O74" s="101"/>
      <c r="P74" s="101"/>
      <c r="Q74" s="101"/>
    </row>
    <row r="75" spans="1:17" ht="15.5" x14ac:dyDescent="0.35">
      <c r="A75" s="54"/>
      <c r="B75" s="56" t="s">
        <v>9</v>
      </c>
      <c r="C75" s="57">
        <v>0</v>
      </c>
      <c r="D75" s="57">
        <f>-25067309-1975407-2546578.98+6965135-142298.21+50047829-46923347+19641976</f>
        <v>-0.19000000134110451</v>
      </c>
      <c r="E75" s="57">
        <f>-229998221.57+48621854+181376368</f>
        <v>0.43000000715255737</v>
      </c>
      <c r="F75" s="57">
        <v>0</v>
      </c>
      <c r="G75" s="47">
        <f>E75-D75</f>
        <v>0.62000000849366188</v>
      </c>
      <c r="L75" s="126"/>
      <c r="M75" s="101"/>
      <c r="N75" s="101"/>
      <c r="O75" s="101"/>
      <c r="P75" s="101"/>
      <c r="Q75" s="101"/>
    </row>
    <row r="76" spans="1:17" ht="15.5" x14ac:dyDescent="0.35">
      <c r="A76" s="54"/>
      <c r="B76" s="48" t="s">
        <v>19</v>
      </c>
      <c r="C76" s="50">
        <v>0</v>
      </c>
      <c r="D76" s="50">
        <f>-3680555-2274000-204473+1688377+14014839-13434298.32+3890110</f>
        <v>-0.32000000029802322</v>
      </c>
      <c r="E76" s="50">
        <f>-23651037.69+6201390.85+17449647</f>
        <v>0.15999999642372131</v>
      </c>
      <c r="F76" s="50">
        <v>0</v>
      </c>
      <c r="G76" s="55">
        <f>E76-D76</f>
        <v>0.47999999672174454</v>
      </c>
      <c r="L76" s="126"/>
      <c r="M76" s="101"/>
      <c r="N76" s="101"/>
      <c r="O76" s="101"/>
      <c r="P76" s="101"/>
      <c r="Q76" s="101"/>
    </row>
    <row r="77" spans="1:17" ht="15.5" x14ac:dyDescent="0.35">
      <c r="A77" s="54"/>
      <c r="B77" s="56" t="s">
        <v>9</v>
      </c>
      <c r="C77" s="57">
        <v>0</v>
      </c>
      <c r="D77" s="57">
        <f>-3680555-2274000-204473+1688377+4470651</f>
        <v>0</v>
      </c>
      <c r="E77" s="57">
        <f>-10401004.57+10401005</f>
        <v>0.42999999970197678</v>
      </c>
      <c r="F77" s="57">
        <v>0</v>
      </c>
      <c r="G77" s="47">
        <f>E77-D77</f>
        <v>0.42999999970197678</v>
      </c>
      <c r="L77" s="126"/>
      <c r="M77" s="101"/>
      <c r="N77" s="101"/>
      <c r="O77" s="101"/>
      <c r="P77" s="101"/>
      <c r="Q77" s="101"/>
    </row>
    <row r="78" spans="1:17" ht="15.5" x14ac:dyDescent="0.35">
      <c r="A78" s="58"/>
      <c r="B78" s="54" t="s">
        <v>13</v>
      </c>
      <c r="C78" s="57"/>
      <c r="D78" s="59"/>
      <c r="E78" s="52">
        <f>E5+E12+E57+E61+E62-E72</f>
        <v>-261143260.40000004</v>
      </c>
      <c r="F78" s="52">
        <f>F5+F12+F57+F61+F62-F72</f>
        <v>-176548158.43000001</v>
      </c>
      <c r="G78" s="53"/>
      <c r="L78" s="130"/>
      <c r="M78" s="101"/>
      <c r="N78" s="101"/>
      <c r="O78" s="101"/>
      <c r="P78" s="101"/>
      <c r="Q78" s="101"/>
    </row>
    <row r="79" spans="1:17" ht="15.5" x14ac:dyDescent="0.35">
      <c r="A79" s="58"/>
      <c r="B79" s="54" t="s">
        <v>14</v>
      </c>
      <c r="C79" s="57"/>
      <c r="D79" s="59"/>
      <c r="E79" s="52">
        <v>-261143260.28999999</v>
      </c>
      <c r="F79" s="52">
        <v>-176548158.56999999</v>
      </c>
      <c r="G79" s="53"/>
      <c r="L79" s="130"/>
      <c r="M79" s="101"/>
      <c r="N79" s="101"/>
      <c r="O79" s="101"/>
      <c r="P79" s="101"/>
      <c r="Q79" s="101"/>
    </row>
    <row r="80" spans="1:17" x14ac:dyDescent="0.35">
      <c r="E80" s="67">
        <f>E78-E79</f>
        <v>-0.11000004410743713</v>
      </c>
    </row>
  </sheetData>
  <autoFilter ref="A3:S79" xr:uid="{C8B09F5C-00A4-4BD3-B743-9BFC60E719C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M658"/>
  <sheetViews>
    <sheetView zoomScale="80" zoomScaleNormal="80" workbookViewId="0">
      <selection activeCell="D1" sqref="D1"/>
    </sheetView>
  </sheetViews>
  <sheetFormatPr defaultRowHeight="14.5" x14ac:dyDescent="0.35"/>
  <cols>
    <col min="1" max="2" width="5.7265625" style="66" customWidth="1"/>
    <col min="3" max="3" width="41.453125" style="66" customWidth="1"/>
    <col min="4" max="4" width="13.81640625" style="67" bestFit="1" customWidth="1"/>
    <col min="5" max="5" width="13.26953125" style="67" bestFit="1" customWidth="1"/>
    <col min="6" max="6" width="13.453125" style="67" bestFit="1" customWidth="1"/>
    <col min="7" max="7" width="13.26953125" style="67" bestFit="1" customWidth="1"/>
    <col min="8" max="8" width="16.81640625" style="68" customWidth="1"/>
    <col min="9" max="9" width="12.81640625" style="68" customWidth="1"/>
    <col min="10" max="10" width="18.54296875" style="66" bestFit="1" customWidth="1"/>
    <col min="11" max="11" width="8.7265625" style="66"/>
    <col min="12" max="12" width="9.81640625" style="66" bestFit="1" customWidth="1"/>
    <col min="13" max="13" width="11.54296875" style="66" bestFit="1" customWidth="1"/>
    <col min="14" max="15" width="9.54296875" style="66" bestFit="1" customWidth="1"/>
    <col min="16" max="16" width="9.81640625" style="66" customWidth="1"/>
    <col min="17" max="16384" width="8.7265625" style="66"/>
  </cols>
  <sheetData>
    <row r="1" spans="1:13" x14ac:dyDescent="0.35">
      <c r="A1" s="65" t="s">
        <v>110</v>
      </c>
      <c r="B1" s="65"/>
    </row>
    <row r="2" spans="1:13" x14ac:dyDescent="0.35">
      <c r="A2" s="65" t="s">
        <v>109</v>
      </c>
      <c r="B2" s="65"/>
    </row>
    <row r="4" spans="1:13" ht="45.5" x14ac:dyDescent="0.35">
      <c r="A4" s="69"/>
      <c r="B4" s="69"/>
      <c r="C4" s="70"/>
      <c r="D4" s="71" t="s">
        <v>1</v>
      </c>
      <c r="E4" s="71" t="s">
        <v>2</v>
      </c>
      <c r="F4" s="71" t="s">
        <v>105</v>
      </c>
      <c r="G4" s="71" t="s">
        <v>3</v>
      </c>
    </row>
    <row r="5" spans="1:13" ht="15.5" x14ac:dyDescent="0.35">
      <c r="A5" s="72" t="s">
        <v>81</v>
      </c>
      <c r="B5" s="72"/>
      <c r="C5" s="62"/>
      <c r="D5" s="63"/>
      <c r="E5" s="63"/>
      <c r="F5" s="63"/>
      <c r="G5" s="63"/>
    </row>
    <row r="6" spans="1:13" s="65" customFormat="1" x14ac:dyDescent="0.35">
      <c r="A6" s="60" t="s">
        <v>65</v>
      </c>
      <c r="B6" s="60"/>
      <c r="C6" s="60"/>
      <c r="D6" s="64">
        <f>SUM(D7:D12)</f>
        <v>-390306831</v>
      </c>
      <c r="E6" s="64">
        <f t="shared" ref="E6" si="0">SUM(E7:E12)</f>
        <v>-439808045.77999997</v>
      </c>
      <c r="F6" s="64">
        <f t="shared" ref="F6" si="1">SUM(F7:F12)</f>
        <v>-338523965.61000001</v>
      </c>
      <c r="G6" s="64">
        <f t="shared" ref="G6" si="2">F6-E6</f>
        <v>101284080.16999996</v>
      </c>
      <c r="H6" s="73"/>
      <c r="I6" s="73"/>
      <c r="J6" s="73"/>
      <c r="M6" s="73"/>
    </row>
    <row r="7" spans="1:13" x14ac:dyDescent="0.35">
      <c r="A7" s="62"/>
      <c r="B7" s="62" t="s">
        <v>111</v>
      </c>
      <c r="C7" s="62"/>
      <c r="D7" s="63">
        <f>D21+D421</f>
        <v>-227275162</v>
      </c>
      <c r="E7" s="63">
        <f>E21+E421</f>
        <v>-250041622.28999999</v>
      </c>
      <c r="F7" s="63">
        <f>F21+F421</f>
        <v>-229998219.90000001</v>
      </c>
      <c r="G7" s="63">
        <f t="shared" ref="G7:G12" si="3">F7-E7</f>
        <v>20043402.389999986</v>
      </c>
    </row>
    <row r="8" spans="1:13" x14ac:dyDescent="0.35">
      <c r="A8" s="62"/>
      <c r="B8" s="62" t="s">
        <v>112</v>
      </c>
      <c r="C8" s="62"/>
      <c r="D8" s="63">
        <f>D22+D656</f>
        <v>-55513531</v>
      </c>
      <c r="E8" s="63">
        <f>E22+E656</f>
        <v>-54955279.07</v>
      </c>
      <c r="F8" s="63">
        <f>F22+F656+F422</f>
        <v>-50593130.719999999</v>
      </c>
      <c r="G8" s="63">
        <f t="shared" si="3"/>
        <v>4362148.3500000015</v>
      </c>
    </row>
    <row r="9" spans="1:13" x14ac:dyDescent="0.35">
      <c r="A9" s="62"/>
      <c r="B9" s="62" t="s">
        <v>113</v>
      </c>
      <c r="C9" s="62"/>
      <c r="D9" s="63">
        <f t="shared" ref="D9:F10" si="4">D23+D423+D657</f>
        <v>-82302602</v>
      </c>
      <c r="E9" s="63">
        <f t="shared" si="4"/>
        <v>-88990811.900000006</v>
      </c>
      <c r="F9" s="63">
        <f t="shared" si="4"/>
        <v>-25421717.099999998</v>
      </c>
      <c r="G9" s="63">
        <f t="shared" si="3"/>
        <v>63569094.800000012</v>
      </c>
      <c r="L9" s="67"/>
    </row>
    <row r="10" spans="1:13" x14ac:dyDescent="0.35">
      <c r="A10" s="62"/>
      <c r="B10" s="62" t="s">
        <v>114</v>
      </c>
      <c r="C10" s="62"/>
      <c r="D10" s="63">
        <f t="shared" si="4"/>
        <v>-10920049</v>
      </c>
      <c r="E10" s="63">
        <f t="shared" si="4"/>
        <v>-31524845.52</v>
      </c>
      <c r="F10" s="63">
        <f t="shared" si="4"/>
        <v>-13992743.800000001</v>
      </c>
      <c r="G10" s="63">
        <f t="shared" si="3"/>
        <v>17532101.719999999</v>
      </c>
      <c r="L10" s="67"/>
    </row>
    <row r="11" spans="1:13" x14ac:dyDescent="0.35">
      <c r="A11" s="62"/>
      <c r="B11" s="62" t="s">
        <v>129</v>
      </c>
      <c r="C11" s="62"/>
      <c r="D11" s="63">
        <f>D25</f>
        <v>-1500000</v>
      </c>
      <c r="E11" s="63">
        <f t="shared" ref="E11:F11" si="5">E25</f>
        <v>-1500000</v>
      </c>
      <c r="F11" s="63">
        <f t="shared" si="5"/>
        <v>-1384803</v>
      </c>
      <c r="G11" s="63">
        <f t="shared" si="3"/>
        <v>115197</v>
      </c>
    </row>
    <row r="12" spans="1:13" x14ac:dyDescent="0.35">
      <c r="A12" s="62"/>
      <c r="B12" s="62" t="s">
        <v>115</v>
      </c>
      <c r="C12" s="62"/>
      <c r="D12" s="63">
        <f>D26+D425</f>
        <v>-12795487</v>
      </c>
      <c r="E12" s="63">
        <f>E26+E425</f>
        <v>-12795487</v>
      </c>
      <c r="F12" s="63">
        <f>F26+F425</f>
        <v>-17133351.09</v>
      </c>
      <c r="G12" s="63">
        <f t="shared" si="3"/>
        <v>-4337864.09</v>
      </c>
    </row>
    <row r="13" spans="1:13" s="65" customFormat="1" ht="15.5" x14ac:dyDescent="0.35">
      <c r="A13" s="72" t="s">
        <v>24</v>
      </c>
      <c r="B13" s="60"/>
      <c r="C13" s="60"/>
      <c r="D13" s="64">
        <f>D20</f>
        <v>-207534968</v>
      </c>
      <c r="E13" s="64">
        <f t="shared" ref="E13:F13" si="6">E20</f>
        <v>-279399108.44999999</v>
      </c>
      <c r="F13" s="74">
        <f t="shared" si="6"/>
        <v>-215641449.10999998</v>
      </c>
      <c r="G13" s="64">
        <f t="shared" ref="G13:G32" si="7">F13-E13</f>
        <v>63757659.340000004</v>
      </c>
      <c r="H13" s="68"/>
      <c r="I13" s="75"/>
      <c r="J13" s="76"/>
    </row>
    <row r="14" spans="1:13" s="65" customFormat="1" ht="15.5" x14ac:dyDescent="0.35">
      <c r="A14" s="72"/>
      <c r="B14" s="62" t="s">
        <v>111</v>
      </c>
      <c r="C14" s="60"/>
      <c r="D14" s="63">
        <f>D21</f>
        <v>-160208820</v>
      </c>
      <c r="E14" s="63">
        <f>E21</f>
        <v>-168456916.28999999</v>
      </c>
      <c r="F14" s="63">
        <f>F21</f>
        <v>-164097442.90000001</v>
      </c>
      <c r="G14" s="63">
        <f t="shared" si="7"/>
        <v>4359473.3899999857</v>
      </c>
      <c r="H14" s="68"/>
      <c r="I14" s="75"/>
      <c r="J14" s="76"/>
    </row>
    <row r="15" spans="1:13" s="65" customFormat="1" ht="15.5" x14ac:dyDescent="0.35">
      <c r="A15" s="72"/>
      <c r="B15" s="62" t="s">
        <v>112</v>
      </c>
      <c r="C15" s="60"/>
      <c r="D15" s="63">
        <f t="shared" ref="D15:D19" si="8">D22</f>
        <v>-34891511</v>
      </c>
      <c r="E15" s="63">
        <f>E22</f>
        <v>-34891511.07</v>
      </c>
      <c r="F15" s="63">
        <f t="shared" ref="F15:F19" si="9">F22</f>
        <v>-33811272.549999997</v>
      </c>
      <c r="G15" s="63">
        <f t="shared" si="7"/>
        <v>1080238.5200000033</v>
      </c>
      <c r="H15" s="68"/>
      <c r="I15" s="75"/>
      <c r="J15" s="76"/>
    </row>
    <row r="16" spans="1:13" s="65" customFormat="1" ht="15.5" x14ac:dyDescent="0.35">
      <c r="A16" s="72"/>
      <c r="B16" s="62" t="s">
        <v>113</v>
      </c>
      <c r="C16" s="60"/>
      <c r="D16" s="63">
        <f t="shared" si="8"/>
        <v>-2812912</v>
      </c>
      <c r="E16" s="63">
        <f>E23</f>
        <v>-55591678.560000002</v>
      </c>
      <c r="F16" s="63">
        <f t="shared" si="9"/>
        <v>-3890643.76</v>
      </c>
      <c r="G16" s="63">
        <f t="shared" si="7"/>
        <v>51701034.800000004</v>
      </c>
      <c r="H16" s="68"/>
      <c r="I16" s="75"/>
      <c r="J16" s="76"/>
    </row>
    <row r="17" spans="1:11" s="65" customFormat="1" ht="15.5" x14ac:dyDescent="0.35">
      <c r="A17" s="72"/>
      <c r="B17" s="62" t="s">
        <v>114</v>
      </c>
      <c r="C17" s="60"/>
      <c r="D17" s="63">
        <f t="shared" si="8"/>
        <v>-3917001</v>
      </c>
      <c r="E17" s="63">
        <f>E24</f>
        <v>-14754278.529999999</v>
      </c>
      <c r="F17" s="63">
        <f t="shared" si="9"/>
        <v>-7816550.8100000005</v>
      </c>
      <c r="G17" s="63">
        <f t="shared" si="7"/>
        <v>6937727.7199999988</v>
      </c>
      <c r="H17" s="68"/>
      <c r="I17" s="75"/>
      <c r="J17" s="76"/>
    </row>
    <row r="18" spans="1:11" s="65" customFormat="1" ht="15.5" x14ac:dyDescent="0.35">
      <c r="A18" s="72"/>
      <c r="B18" s="62" t="s">
        <v>129</v>
      </c>
      <c r="C18" s="60"/>
      <c r="D18" s="63">
        <f t="shared" si="8"/>
        <v>-1500000</v>
      </c>
      <c r="E18" s="63">
        <f>E25</f>
        <v>-1500000</v>
      </c>
      <c r="F18" s="63">
        <f t="shared" si="9"/>
        <v>-1384803</v>
      </c>
      <c r="G18" s="63">
        <f t="shared" si="7"/>
        <v>115197</v>
      </c>
      <c r="H18" s="68"/>
      <c r="I18" s="75"/>
      <c r="J18" s="76"/>
    </row>
    <row r="19" spans="1:11" s="65" customFormat="1" ht="15.5" x14ac:dyDescent="0.35">
      <c r="A19" s="72"/>
      <c r="B19" s="62" t="s">
        <v>115</v>
      </c>
      <c r="C19" s="60"/>
      <c r="D19" s="63">
        <f t="shared" si="8"/>
        <v>-4204724</v>
      </c>
      <c r="E19" s="63">
        <f>E26</f>
        <v>-4204724</v>
      </c>
      <c r="F19" s="63">
        <f t="shared" si="9"/>
        <v>-4640736.09</v>
      </c>
      <c r="G19" s="63">
        <f t="shared" si="7"/>
        <v>-436012.08999999985</v>
      </c>
      <c r="H19" s="68"/>
      <c r="I19" s="75"/>
      <c r="J19" s="76"/>
    </row>
    <row r="20" spans="1:11" s="65" customFormat="1" ht="15.5" x14ac:dyDescent="0.35">
      <c r="A20" s="72" t="s">
        <v>121</v>
      </c>
      <c r="B20" s="60"/>
      <c r="C20" s="60"/>
      <c r="D20" s="64">
        <f>SUM(D21:D26)</f>
        <v>-207534968</v>
      </c>
      <c r="E20" s="64">
        <f>SUM(E21:E26)</f>
        <v>-279399108.44999999</v>
      </c>
      <c r="F20" s="74">
        <f>SUM(F21:F26)</f>
        <v>-215641449.10999998</v>
      </c>
      <c r="G20" s="64">
        <f t="shared" si="7"/>
        <v>63757659.340000004</v>
      </c>
      <c r="H20" s="73"/>
      <c r="I20" s="73"/>
      <c r="J20" s="73"/>
      <c r="K20" s="73"/>
    </row>
    <row r="21" spans="1:11" ht="15.5" x14ac:dyDescent="0.35">
      <c r="A21" s="77"/>
      <c r="B21" s="62" t="s">
        <v>111</v>
      </c>
      <c r="C21" s="62"/>
      <c r="D21" s="63">
        <f>D28+D97+D175+D263+D329+D395</f>
        <v>-160208820</v>
      </c>
      <c r="E21" s="63">
        <f>E28+E97+E175+E263+E329+E395</f>
        <v>-168456916.28999999</v>
      </c>
      <c r="F21" s="63">
        <f>F28+F97+F175+F263+F329+F395</f>
        <v>-164097442.90000001</v>
      </c>
      <c r="G21" s="63">
        <f t="shared" si="7"/>
        <v>4359473.3899999857</v>
      </c>
    </row>
    <row r="22" spans="1:11" ht="15.5" x14ac:dyDescent="0.35">
      <c r="A22" s="77"/>
      <c r="B22" s="62" t="s">
        <v>112</v>
      </c>
      <c r="C22" s="62"/>
      <c r="D22" s="63">
        <f>D98+D176+D330+D29+D264+D396</f>
        <v>-34891511</v>
      </c>
      <c r="E22" s="63">
        <f>E98+E176+E330+E29+E264+E396</f>
        <v>-34891511.07</v>
      </c>
      <c r="F22" s="63">
        <f>F98+F176+F330+F29+F264+F396</f>
        <v>-33811272.549999997</v>
      </c>
      <c r="G22" s="63">
        <f t="shared" si="7"/>
        <v>1080238.5200000033</v>
      </c>
    </row>
    <row r="23" spans="1:11" x14ac:dyDescent="0.35">
      <c r="A23" s="62"/>
      <c r="B23" s="62" t="s">
        <v>113</v>
      </c>
      <c r="C23" s="62"/>
      <c r="D23" s="63">
        <f>D99+D177+D265+D30+D331+D397</f>
        <v>-2812912</v>
      </c>
      <c r="E23" s="63">
        <f>E99+E177+E265+E30+E331+E397</f>
        <v>-55591678.560000002</v>
      </c>
      <c r="F23" s="63">
        <f>F99+F177+F265+F30+F331+F397</f>
        <v>-3890643.76</v>
      </c>
      <c r="G23" s="63">
        <f t="shared" si="7"/>
        <v>51701034.800000004</v>
      </c>
    </row>
    <row r="24" spans="1:11" x14ac:dyDescent="0.35">
      <c r="A24" s="62"/>
      <c r="B24" s="62" t="s">
        <v>114</v>
      </c>
      <c r="C24" s="62"/>
      <c r="D24" s="63">
        <f>D31+D100+D178+D266+D332+D398</f>
        <v>-3917001</v>
      </c>
      <c r="E24" s="63">
        <f>E31+E100+E178+E266+E332+E398</f>
        <v>-14754278.529999999</v>
      </c>
      <c r="F24" s="63">
        <f>F31+F100+F178+F266+F332+F398</f>
        <v>-7816550.8100000005</v>
      </c>
      <c r="G24" s="63">
        <f t="shared" si="7"/>
        <v>6937727.7199999988</v>
      </c>
    </row>
    <row r="25" spans="1:11" x14ac:dyDescent="0.35">
      <c r="A25" s="62"/>
      <c r="B25" s="62" t="s">
        <v>129</v>
      </c>
      <c r="C25" s="62"/>
      <c r="D25" s="63">
        <f>D101</f>
        <v>-1500000</v>
      </c>
      <c r="E25" s="63">
        <f t="shared" ref="E25:F25" si="10">E101</f>
        <v>-1500000</v>
      </c>
      <c r="F25" s="63">
        <f t="shared" si="10"/>
        <v>-1384803</v>
      </c>
      <c r="G25" s="63">
        <f t="shared" si="7"/>
        <v>115197</v>
      </c>
    </row>
    <row r="26" spans="1:11" x14ac:dyDescent="0.35">
      <c r="A26" s="62"/>
      <c r="B26" s="62" t="s">
        <v>115</v>
      </c>
      <c r="C26" s="62"/>
      <c r="D26" s="63">
        <f>D32+D102+D179+D267+D333+D399</f>
        <v>-4204724</v>
      </c>
      <c r="E26" s="63">
        <f>E32+E102+E179+E267+E333+E399</f>
        <v>-4204724</v>
      </c>
      <c r="F26" s="63">
        <f>F32+F102+F179+F267+F333+F399</f>
        <v>-4640736.09</v>
      </c>
      <c r="G26" s="63">
        <f t="shared" si="7"/>
        <v>-436012.08999999985</v>
      </c>
    </row>
    <row r="27" spans="1:11" s="65" customFormat="1" ht="15.5" x14ac:dyDescent="0.35">
      <c r="A27" s="78" t="s">
        <v>122</v>
      </c>
      <c r="B27" s="60"/>
      <c r="C27" s="60"/>
      <c r="D27" s="64">
        <f>SUM(D28:D32)</f>
        <v>-8221095</v>
      </c>
      <c r="E27" s="64">
        <f t="shared" ref="E27:F27" si="11">SUM(E28:E32)</f>
        <v>-10652455</v>
      </c>
      <c r="F27" s="64">
        <f t="shared" si="11"/>
        <v>-9754905</v>
      </c>
      <c r="G27" s="64">
        <f t="shared" si="7"/>
        <v>897550</v>
      </c>
      <c r="H27" s="79"/>
      <c r="I27" s="79"/>
    </row>
    <row r="28" spans="1:11" x14ac:dyDescent="0.35">
      <c r="A28" s="62"/>
      <c r="B28" s="62" t="s">
        <v>111</v>
      </c>
      <c r="C28" s="62"/>
      <c r="D28" s="63">
        <f>D41+D62+D82</f>
        <v>-8113630</v>
      </c>
      <c r="E28" s="63">
        <f>E41+E62+E82</f>
        <v>-9648493</v>
      </c>
      <c r="F28" s="63">
        <f>F41+F62+F82</f>
        <v>-9035509</v>
      </c>
      <c r="G28" s="63">
        <f t="shared" si="7"/>
        <v>612984</v>
      </c>
    </row>
    <row r="29" spans="1:11" x14ac:dyDescent="0.35">
      <c r="A29" s="62"/>
      <c r="B29" s="62" t="s">
        <v>112</v>
      </c>
      <c r="C29" s="62"/>
      <c r="D29" s="63">
        <f>D48+D65+D87</f>
        <v>0</v>
      </c>
      <c r="E29" s="63">
        <f>E48+E65+E87</f>
        <v>-92843</v>
      </c>
      <c r="F29" s="63">
        <f>F48+F65+F87</f>
        <v>-89278</v>
      </c>
      <c r="G29" s="63">
        <f t="shared" si="7"/>
        <v>3565</v>
      </c>
    </row>
    <row r="30" spans="1:11" x14ac:dyDescent="0.35">
      <c r="A30" s="62"/>
      <c r="B30" s="62" t="s">
        <v>113</v>
      </c>
      <c r="C30" s="62"/>
      <c r="D30" s="63">
        <f>D51+D67+D89</f>
        <v>0</v>
      </c>
      <c r="E30" s="63">
        <f>E51+E67+E89</f>
        <v>-616959</v>
      </c>
      <c r="F30" s="63">
        <f>F51+F67+F89</f>
        <v>-530341</v>
      </c>
      <c r="G30" s="63">
        <f t="shared" si="7"/>
        <v>86618</v>
      </c>
    </row>
    <row r="31" spans="1:11" x14ac:dyDescent="0.35">
      <c r="A31" s="62"/>
      <c r="B31" s="62" t="s">
        <v>114</v>
      </c>
      <c r="C31" s="62"/>
      <c r="D31" s="63">
        <f>D71+D93</f>
        <v>-51711</v>
      </c>
      <c r="E31" s="63">
        <f>E71+E93</f>
        <v>-238406</v>
      </c>
      <c r="F31" s="63">
        <f>F71+F93</f>
        <v>-30034</v>
      </c>
      <c r="G31" s="63">
        <f t="shared" si="7"/>
        <v>208372</v>
      </c>
    </row>
    <row r="32" spans="1:11" x14ac:dyDescent="0.35">
      <c r="A32" s="62"/>
      <c r="B32" s="62" t="s">
        <v>115</v>
      </c>
      <c r="C32" s="62"/>
      <c r="D32" s="63">
        <f>D56+D75</f>
        <v>-55754</v>
      </c>
      <c r="E32" s="63">
        <f>E56+E75</f>
        <v>-55754</v>
      </c>
      <c r="F32" s="63">
        <f>F56+F75</f>
        <v>-69743</v>
      </c>
      <c r="G32" s="63">
        <f t="shared" si="7"/>
        <v>-13989</v>
      </c>
    </row>
    <row r="33" spans="1:7" x14ac:dyDescent="0.35">
      <c r="A33" s="60"/>
      <c r="B33" s="60" t="s">
        <v>123</v>
      </c>
      <c r="C33" s="60"/>
      <c r="D33" s="64">
        <f>SUM(D35:D40)</f>
        <v>-6587807</v>
      </c>
      <c r="E33" s="64">
        <f>SUM(E34:E40)</f>
        <v>-7880165</v>
      </c>
      <c r="F33" s="64">
        <f t="shared" ref="F33" si="12">SUM(F35:F40)</f>
        <v>-7508148</v>
      </c>
      <c r="G33" s="64">
        <f>F33-E33</f>
        <v>372017</v>
      </c>
    </row>
    <row r="34" spans="1:7" x14ac:dyDescent="0.35">
      <c r="A34" s="62"/>
      <c r="B34" s="62"/>
      <c r="C34" s="62" t="s">
        <v>153</v>
      </c>
      <c r="D34" s="63">
        <v>0</v>
      </c>
      <c r="E34" s="63">
        <f>E52</f>
        <v>-142003</v>
      </c>
      <c r="F34" s="63">
        <v>0</v>
      </c>
      <c r="G34" s="63">
        <f>F34-E34</f>
        <v>142003</v>
      </c>
    </row>
    <row r="35" spans="1:7" x14ac:dyDescent="0.35">
      <c r="A35" s="62"/>
      <c r="B35" s="62"/>
      <c r="C35" s="62" t="s">
        <v>62</v>
      </c>
      <c r="D35" s="63">
        <f>D42+D49+D53</f>
        <v>-2740948</v>
      </c>
      <c r="E35" s="63">
        <f t="shared" ref="E35:F35" si="13">E42+E49+E53</f>
        <v>-2295021</v>
      </c>
      <c r="F35" s="63">
        <f t="shared" si="13"/>
        <v>-2267285</v>
      </c>
      <c r="G35" s="63">
        <f t="shared" ref="G35:G40" si="14">F35-E35</f>
        <v>27736</v>
      </c>
    </row>
    <row r="36" spans="1:7" x14ac:dyDescent="0.35">
      <c r="A36" s="62"/>
      <c r="B36" s="62"/>
      <c r="C36" s="62" t="s">
        <v>63</v>
      </c>
      <c r="D36" s="63">
        <f>D43+D54</f>
        <v>-1706144</v>
      </c>
      <c r="E36" s="63">
        <f t="shared" ref="E36:F36" si="15">E43+E54</f>
        <v>-1578064</v>
      </c>
      <c r="F36" s="63">
        <f t="shared" si="15"/>
        <v>-1137562</v>
      </c>
      <c r="G36" s="63">
        <f t="shared" si="14"/>
        <v>440502</v>
      </c>
    </row>
    <row r="37" spans="1:7" x14ac:dyDescent="0.35">
      <c r="A37" s="62"/>
      <c r="B37" s="62"/>
      <c r="C37" s="62" t="s">
        <v>106</v>
      </c>
      <c r="D37" s="63">
        <f>D44</f>
        <v>-6000</v>
      </c>
      <c r="E37" s="63">
        <f t="shared" ref="E37:F37" si="16">E44</f>
        <v>-24000</v>
      </c>
      <c r="F37" s="63">
        <f t="shared" si="16"/>
        <v>-15000</v>
      </c>
      <c r="G37" s="63">
        <f t="shared" si="14"/>
        <v>9000</v>
      </c>
    </row>
    <row r="38" spans="1:7" x14ac:dyDescent="0.35">
      <c r="A38" s="62"/>
      <c r="B38" s="62"/>
      <c r="C38" s="62" t="s">
        <v>117</v>
      </c>
      <c r="D38" s="63">
        <f>D45</f>
        <v>0</v>
      </c>
      <c r="E38" s="63">
        <f t="shared" ref="E38:F38" si="17">E45</f>
        <v>-197700</v>
      </c>
      <c r="F38" s="63">
        <f t="shared" si="17"/>
        <v>-197700</v>
      </c>
      <c r="G38" s="63">
        <f t="shared" si="14"/>
        <v>0</v>
      </c>
    </row>
    <row r="39" spans="1:7" x14ac:dyDescent="0.35">
      <c r="A39" s="62"/>
      <c r="B39" s="62"/>
      <c r="C39" s="62" t="s">
        <v>107</v>
      </c>
      <c r="D39" s="63">
        <f>D46+D55</f>
        <v>-2131314</v>
      </c>
      <c r="E39" s="63">
        <f t="shared" ref="E39:F39" si="18">E46+E55</f>
        <v>-1923476</v>
      </c>
      <c r="F39" s="63">
        <f t="shared" si="18"/>
        <v>-2154943</v>
      </c>
      <c r="G39" s="63">
        <f t="shared" si="14"/>
        <v>-231467</v>
      </c>
    </row>
    <row r="40" spans="1:7" x14ac:dyDescent="0.35">
      <c r="A40" s="62"/>
      <c r="B40" s="62"/>
      <c r="C40" s="62" t="s">
        <v>108</v>
      </c>
      <c r="D40" s="63">
        <f>D56+D47+D50</f>
        <v>-3401</v>
      </c>
      <c r="E40" s="63">
        <f t="shared" ref="E40:F40" si="19">E56+E47+E50</f>
        <v>-1719901</v>
      </c>
      <c r="F40" s="63">
        <f t="shared" si="19"/>
        <v>-1735658</v>
      </c>
      <c r="G40" s="63">
        <f t="shared" si="14"/>
        <v>-15757</v>
      </c>
    </row>
    <row r="41" spans="1:7" x14ac:dyDescent="0.35">
      <c r="A41" s="60"/>
      <c r="B41" s="60"/>
      <c r="C41" s="60" t="s">
        <v>111</v>
      </c>
      <c r="D41" s="64">
        <f>SUM(D42:D47)</f>
        <v>-6584406</v>
      </c>
      <c r="E41" s="64">
        <f>SUM(E42:E47)</f>
        <v>-7641918</v>
      </c>
      <c r="F41" s="64">
        <f t="shared" ref="F41" si="20">SUM(F42:F47)</f>
        <v>-7100055</v>
      </c>
      <c r="G41" s="64">
        <f>F41-E41</f>
        <v>541863</v>
      </c>
    </row>
    <row r="42" spans="1:7" x14ac:dyDescent="0.35">
      <c r="A42" s="62"/>
      <c r="B42" s="62"/>
      <c r="C42" s="62" t="s">
        <v>62</v>
      </c>
      <c r="D42" s="63">
        <v>-2740948</v>
      </c>
      <c r="E42" s="63">
        <v>-2202178</v>
      </c>
      <c r="F42" s="63">
        <v>-2149220</v>
      </c>
      <c r="G42" s="63">
        <f t="shared" ref="G42:G56" si="21">F42-E42</f>
        <v>52958</v>
      </c>
    </row>
    <row r="43" spans="1:7" x14ac:dyDescent="0.35">
      <c r="A43" s="62"/>
      <c r="B43" s="62"/>
      <c r="C43" s="62" t="s">
        <v>63</v>
      </c>
      <c r="D43" s="63">
        <v>-1706144</v>
      </c>
      <c r="E43" s="63">
        <v>-1578064</v>
      </c>
      <c r="F43" s="63">
        <v>-1103477</v>
      </c>
      <c r="G43" s="63">
        <f t="shared" si="21"/>
        <v>474587</v>
      </c>
    </row>
    <row r="44" spans="1:7" x14ac:dyDescent="0.35">
      <c r="A44" s="62"/>
      <c r="B44" s="62"/>
      <c r="C44" s="62" t="s">
        <v>106</v>
      </c>
      <c r="D44" s="63">
        <v>-6000</v>
      </c>
      <c r="E44" s="63">
        <v>-24000</v>
      </c>
      <c r="F44" s="63">
        <v>-15000</v>
      </c>
      <c r="G44" s="63">
        <f t="shared" si="21"/>
        <v>9000</v>
      </c>
    </row>
    <row r="45" spans="1:7" x14ac:dyDescent="0.35">
      <c r="A45" s="62"/>
      <c r="B45" s="62"/>
      <c r="C45" s="62" t="s">
        <v>117</v>
      </c>
      <c r="D45" s="63">
        <v>0</v>
      </c>
      <c r="E45" s="63">
        <v>-197700</v>
      </c>
      <c r="F45" s="63">
        <v>-197700</v>
      </c>
      <c r="G45" s="63">
        <f t="shared" si="21"/>
        <v>0</v>
      </c>
    </row>
    <row r="46" spans="1:7" x14ac:dyDescent="0.35">
      <c r="A46" s="62"/>
      <c r="B46" s="62"/>
      <c r="C46" s="62" t="s">
        <v>107</v>
      </c>
      <c r="D46" s="63">
        <v>-2131314</v>
      </c>
      <c r="E46" s="63">
        <v>-1923476</v>
      </c>
      <c r="F46" s="63">
        <v>-1917838</v>
      </c>
      <c r="G46" s="63">
        <f t="shared" si="21"/>
        <v>5638</v>
      </c>
    </row>
    <row r="47" spans="1:7" x14ac:dyDescent="0.35">
      <c r="A47" s="62"/>
      <c r="B47" s="62"/>
      <c r="C47" s="62" t="s">
        <v>64</v>
      </c>
      <c r="D47" s="63">
        <v>0</v>
      </c>
      <c r="E47" s="63">
        <v>-1716500</v>
      </c>
      <c r="F47" s="63">
        <v>-1716820</v>
      </c>
      <c r="G47" s="63">
        <f t="shared" si="21"/>
        <v>-320</v>
      </c>
    </row>
    <row r="48" spans="1:7" x14ac:dyDescent="0.35">
      <c r="A48" s="62"/>
      <c r="B48" s="62"/>
      <c r="C48" s="60" t="s">
        <v>112</v>
      </c>
      <c r="D48" s="64">
        <f>SUM(D49:D50)</f>
        <v>0</v>
      </c>
      <c r="E48" s="64">
        <f>SUM(E49:E50)</f>
        <v>-92843</v>
      </c>
      <c r="F48" s="64">
        <f t="shared" ref="F48" si="22">SUM(F49:F50)</f>
        <v>-89395</v>
      </c>
      <c r="G48" s="64">
        <f t="shared" si="21"/>
        <v>3448</v>
      </c>
    </row>
    <row r="49" spans="1:9" x14ac:dyDescent="0.35">
      <c r="A49" s="62"/>
      <c r="B49" s="62"/>
      <c r="C49" s="62" t="s">
        <v>62</v>
      </c>
      <c r="D49" s="63">
        <v>0</v>
      </c>
      <c r="E49" s="63">
        <v>-92843</v>
      </c>
      <c r="F49" s="63">
        <v>-90000</v>
      </c>
      <c r="G49" s="63">
        <f t="shared" si="21"/>
        <v>2843</v>
      </c>
    </row>
    <row r="50" spans="1:9" x14ac:dyDescent="0.35">
      <c r="A50" s="62"/>
      <c r="B50" s="62"/>
      <c r="C50" s="62" t="s">
        <v>64</v>
      </c>
      <c r="D50" s="63">
        <v>0</v>
      </c>
      <c r="E50" s="63">
        <v>0</v>
      </c>
      <c r="F50" s="63">
        <v>605</v>
      </c>
      <c r="G50" s="63">
        <f t="shared" si="21"/>
        <v>605</v>
      </c>
    </row>
    <row r="51" spans="1:9" x14ac:dyDescent="0.35">
      <c r="A51" s="62"/>
      <c r="B51" s="62"/>
      <c r="C51" s="60" t="s">
        <v>113</v>
      </c>
      <c r="D51" s="64">
        <f>SUM(D53:D55)</f>
        <v>0</v>
      </c>
      <c r="E51" s="64">
        <f>SUM(E52:E55)</f>
        <v>-142003</v>
      </c>
      <c r="F51" s="64">
        <f>SUM(F53:F55)</f>
        <v>-299255</v>
      </c>
      <c r="G51" s="64">
        <f t="shared" si="21"/>
        <v>-157252</v>
      </c>
    </row>
    <row r="52" spans="1:9" x14ac:dyDescent="0.35">
      <c r="A52" s="62"/>
      <c r="B52" s="62"/>
      <c r="C52" s="62" t="s">
        <v>153</v>
      </c>
      <c r="D52" s="63">
        <v>0</v>
      </c>
      <c r="E52" s="63">
        <v>-142003</v>
      </c>
      <c r="F52" s="63">
        <v>0</v>
      </c>
      <c r="G52" s="63">
        <f t="shared" si="21"/>
        <v>142003</v>
      </c>
    </row>
    <row r="53" spans="1:9" x14ac:dyDescent="0.35">
      <c r="A53" s="62"/>
      <c r="B53" s="62"/>
      <c r="C53" s="62" t="s">
        <v>62</v>
      </c>
      <c r="D53" s="63">
        <v>0</v>
      </c>
      <c r="E53" s="63">
        <v>0</v>
      </c>
      <c r="F53" s="63">
        <v>-28065</v>
      </c>
      <c r="G53" s="63">
        <f t="shared" si="21"/>
        <v>-28065</v>
      </c>
    </row>
    <row r="54" spans="1:9" x14ac:dyDescent="0.35">
      <c r="A54" s="62"/>
      <c r="B54" s="62"/>
      <c r="C54" s="62" t="s">
        <v>63</v>
      </c>
      <c r="D54" s="63">
        <v>0</v>
      </c>
      <c r="E54" s="63">
        <v>0</v>
      </c>
      <c r="F54" s="63">
        <v>-34085</v>
      </c>
      <c r="G54" s="63">
        <f t="shared" si="21"/>
        <v>-34085</v>
      </c>
    </row>
    <row r="55" spans="1:9" x14ac:dyDescent="0.35">
      <c r="A55" s="62"/>
      <c r="B55" s="62"/>
      <c r="C55" s="62" t="s">
        <v>107</v>
      </c>
      <c r="D55" s="63">
        <v>0</v>
      </c>
      <c r="E55" s="63">
        <v>0</v>
      </c>
      <c r="F55" s="63">
        <v>-237105</v>
      </c>
      <c r="G55" s="63">
        <f t="shared" si="21"/>
        <v>-237105</v>
      </c>
    </row>
    <row r="56" spans="1:9" s="65" customFormat="1" x14ac:dyDescent="0.35">
      <c r="A56" s="60"/>
      <c r="B56" s="60"/>
      <c r="C56" s="60" t="s">
        <v>116</v>
      </c>
      <c r="D56" s="64">
        <v>-3401</v>
      </c>
      <c r="E56" s="64">
        <f>D56</f>
        <v>-3401</v>
      </c>
      <c r="F56" s="64">
        <v>-19443</v>
      </c>
      <c r="G56" s="64">
        <f t="shared" si="21"/>
        <v>-16042</v>
      </c>
      <c r="H56" s="68"/>
      <c r="I56" s="68"/>
    </row>
    <row r="57" spans="1:9" x14ac:dyDescent="0.35">
      <c r="A57" s="60"/>
      <c r="B57" s="60" t="s">
        <v>155</v>
      </c>
      <c r="C57" s="60"/>
      <c r="D57" s="64">
        <f>SUM(D59:D61)</f>
        <v>-255914</v>
      </c>
      <c r="E57" s="64">
        <f>SUM(E58:E61)</f>
        <v>-789258</v>
      </c>
      <c r="F57" s="64">
        <f>SUM(F59:F61)</f>
        <v>-556215</v>
      </c>
      <c r="G57" s="64">
        <f>F57-E57</f>
        <v>233043</v>
      </c>
      <c r="H57" s="80"/>
    </row>
    <row r="58" spans="1:9" x14ac:dyDescent="0.35">
      <c r="A58" s="62"/>
      <c r="B58" s="62"/>
      <c r="C58" s="62" t="s">
        <v>153</v>
      </c>
      <c r="D58" s="63">
        <v>0</v>
      </c>
      <c r="E58" s="63">
        <f>E68+E72</f>
        <v>-283779</v>
      </c>
      <c r="F58" s="63">
        <v>0</v>
      </c>
      <c r="G58" s="63">
        <f t="shared" ref="G58:G61" si="23">F58-E58</f>
        <v>283779</v>
      </c>
      <c r="H58" s="81"/>
    </row>
    <row r="59" spans="1:9" x14ac:dyDescent="0.35">
      <c r="A59" s="62"/>
      <c r="B59" s="62"/>
      <c r="C59" s="62" t="s">
        <v>62</v>
      </c>
      <c r="D59" s="63">
        <f>D63+D73+D69</f>
        <v>-191093</v>
      </c>
      <c r="E59" s="63">
        <f t="shared" ref="E59:F59" si="24">E63+E73+E69</f>
        <v>-403004</v>
      </c>
      <c r="F59" s="63">
        <f t="shared" si="24"/>
        <v>-459001</v>
      </c>
      <c r="G59" s="63">
        <f t="shared" si="23"/>
        <v>-55997</v>
      </c>
      <c r="H59" s="80"/>
    </row>
    <row r="60" spans="1:9" x14ac:dyDescent="0.35">
      <c r="A60" s="62"/>
      <c r="B60" s="62"/>
      <c r="C60" s="62" t="s">
        <v>63</v>
      </c>
      <c r="D60" s="63">
        <f>D64+D74</f>
        <v>-12468</v>
      </c>
      <c r="E60" s="63">
        <f>E64+E74</f>
        <v>-50122</v>
      </c>
      <c r="F60" s="63">
        <f t="shared" ref="F60" si="25">F64+F74</f>
        <v>-46914</v>
      </c>
      <c r="G60" s="63">
        <f t="shared" si="23"/>
        <v>3208</v>
      </c>
      <c r="H60" s="82"/>
      <c r="I60" s="82"/>
    </row>
    <row r="61" spans="1:9" x14ac:dyDescent="0.35">
      <c r="A61" s="62"/>
      <c r="B61" s="62"/>
      <c r="C61" s="62" t="s">
        <v>108</v>
      </c>
      <c r="D61" s="63">
        <f>D75</f>
        <v>-52353</v>
      </c>
      <c r="E61" s="63">
        <f t="shared" ref="E61:F61" si="26">E75</f>
        <v>-52353</v>
      </c>
      <c r="F61" s="63">
        <f t="shared" si="26"/>
        <v>-50300</v>
      </c>
      <c r="G61" s="63">
        <f t="shared" si="23"/>
        <v>2053</v>
      </c>
      <c r="H61" s="82"/>
    </row>
    <row r="62" spans="1:9" x14ac:dyDescent="0.35">
      <c r="A62" s="60"/>
      <c r="B62" s="60"/>
      <c r="C62" s="60" t="s">
        <v>111</v>
      </c>
      <c r="D62" s="64">
        <f>SUM(D63:D64)</f>
        <v>-152754</v>
      </c>
      <c r="E62" s="64">
        <f t="shared" ref="E62:F62" si="27">SUM(E63:E64)</f>
        <v>-453126</v>
      </c>
      <c r="F62" s="64">
        <f t="shared" si="27"/>
        <v>-442244</v>
      </c>
      <c r="G62" s="64">
        <f>F62-E62</f>
        <v>10882</v>
      </c>
      <c r="H62" s="80"/>
    </row>
    <row r="63" spans="1:9" x14ac:dyDescent="0.35">
      <c r="A63" s="62"/>
      <c r="B63" s="62"/>
      <c r="C63" s="62" t="s">
        <v>62</v>
      </c>
      <c r="D63" s="63">
        <v>-140286</v>
      </c>
      <c r="E63" s="63">
        <v>-403004</v>
      </c>
      <c r="F63" s="63">
        <v>-395469</v>
      </c>
      <c r="G63" s="63">
        <f t="shared" ref="G63:G77" si="28">F63-E63</f>
        <v>7535</v>
      </c>
      <c r="H63" s="80"/>
    </row>
    <row r="64" spans="1:9" x14ac:dyDescent="0.35">
      <c r="A64" s="60"/>
      <c r="B64" s="60"/>
      <c r="C64" s="62" t="s">
        <v>63</v>
      </c>
      <c r="D64" s="63">
        <v>-12468</v>
      </c>
      <c r="E64" s="63">
        <v>-50122</v>
      </c>
      <c r="F64" s="63">
        <v>-46775</v>
      </c>
      <c r="G64" s="63">
        <f t="shared" si="28"/>
        <v>3347</v>
      </c>
    </row>
    <row r="65" spans="1:9" x14ac:dyDescent="0.35">
      <c r="A65" s="60"/>
      <c r="B65" s="60"/>
      <c r="C65" s="60" t="s">
        <v>112</v>
      </c>
      <c r="D65" s="64">
        <f>SUM(D66)</f>
        <v>0</v>
      </c>
      <c r="E65" s="64">
        <f t="shared" ref="E65:F65" si="29">SUM(E66)</f>
        <v>0</v>
      </c>
      <c r="F65" s="64">
        <f t="shared" si="29"/>
        <v>0</v>
      </c>
      <c r="G65" s="63">
        <f t="shared" si="28"/>
        <v>0</v>
      </c>
    </row>
    <row r="66" spans="1:9" x14ac:dyDescent="0.35">
      <c r="A66" s="60"/>
      <c r="B66" s="60"/>
      <c r="C66" s="62" t="s">
        <v>64</v>
      </c>
      <c r="D66" s="63">
        <v>0</v>
      </c>
      <c r="E66" s="63">
        <v>0</v>
      </c>
      <c r="F66" s="63">
        <v>0</v>
      </c>
      <c r="G66" s="63">
        <f t="shared" si="28"/>
        <v>0</v>
      </c>
    </row>
    <row r="67" spans="1:9" x14ac:dyDescent="0.35">
      <c r="A67" s="60"/>
      <c r="B67" s="60"/>
      <c r="C67" s="60" t="s">
        <v>113</v>
      </c>
      <c r="D67" s="64">
        <f>SUM(D69:D70)</f>
        <v>0</v>
      </c>
      <c r="E67" s="64">
        <f>SUM(E68:E70)</f>
        <v>-46067</v>
      </c>
      <c r="F67" s="64">
        <f t="shared" ref="F67" si="30">SUM(F69:F70)</f>
        <v>-33637</v>
      </c>
      <c r="G67" s="64">
        <f>F67-E67</f>
        <v>12430</v>
      </c>
    </row>
    <row r="68" spans="1:9" x14ac:dyDescent="0.35">
      <c r="A68" s="62"/>
      <c r="B68" s="62"/>
      <c r="C68" s="62" t="s">
        <v>153</v>
      </c>
      <c r="D68" s="63">
        <v>0</v>
      </c>
      <c r="E68" s="63">
        <v>-46067</v>
      </c>
      <c r="F68" s="63">
        <v>0</v>
      </c>
      <c r="G68" s="63">
        <f t="shared" si="28"/>
        <v>46067</v>
      </c>
    </row>
    <row r="69" spans="1:9" x14ac:dyDescent="0.35">
      <c r="A69" s="60"/>
      <c r="B69" s="60"/>
      <c r="C69" s="62" t="s">
        <v>62</v>
      </c>
      <c r="D69" s="63">
        <v>0</v>
      </c>
      <c r="E69" s="63">
        <v>0</v>
      </c>
      <c r="F69" s="63">
        <v>-33637</v>
      </c>
      <c r="G69" s="63">
        <f t="shared" si="28"/>
        <v>-33637</v>
      </c>
    </row>
    <row r="70" spans="1:9" x14ac:dyDescent="0.35">
      <c r="A70" s="60"/>
      <c r="B70" s="60"/>
      <c r="C70" s="62" t="s">
        <v>153</v>
      </c>
      <c r="D70" s="63">
        <v>0</v>
      </c>
      <c r="E70" s="63">
        <v>0</v>
      </c>
      <c r="F70" s="63">
        <v>0</v>
      </c>
      <c r="G70" s="63">
        <f>F70-E70</f>
        <v>0</v>
      </c>
    </row>
    <row r="71" spans="1:9" s="65" customFormat="1" x14ac:dyDescent="0.35">
      <c r="A71" s="60"/>
      <c r="B71" s="60"/>
      <c r="C71" s="60" t="s">
        <v>114</v>
      </c>
      <c r="D71" s="64">
        <f>SUM(D73:D74)</f>
        <v>-50807</v>
      </c>
      <c r="E71" s="64">
        <f>SUM(E72:E74)</f>
        <v>-237712</v>
      </c>
      <c r="F71" s="64">
        <f t="shared" ref="F71" si="31">SUM(F73:F74)</f>
        <v>-30034</v>
      </c>
      <c r="G71" s="64">
        <f>F71-E71</f>
        <v>207678</v>
      </c>
      <c r="H71" s="68"/>
      <c r="I71" s="68"/>
    </row>
    <row r="72" spans="1:9" x14ac:dyDescent="0.35">
      <c r="A72" s="62"/>
      <c r="B72" s="62"/>
      <c r="C72" s="62" t="s">
        <v>153</v>
      </c>
      <c r="D72" s="63">
        <v>0</v>
      </c>
      <c r="E72" s="63">
        <v>-237712</v>
      </c>
      <c r="F72" s="63">
        <v>0</v>
      </c>
      <c r="G72" s="63">
        <f t="shared" si="28"/>
        <v>237712</v>
      </c>
    </row>
    <row r="73" spans="1:9" x14ac:dyDescent="0.35">
      <c r="A73" s="60"/>
      <c r="B73" s="60"/>
      <c r="C73" s="62" t="s">
        <v>62</v>
      </c>
      <c r="D73" s="63">
        <v>-50807</v>
      </c>
      <c r="E73" s="63">
        <v>0</v>
      </c>
      <c r="F73" s="63">
        <v>-29895</v>
      </c>
      <c r="G73" s="63">
        <f t="shared" si="28"/>
        <v>-29895</v>
      </c>
    </row>
    <row r="74" spans="1:9" x14ac:dyDescent="0.35">
      <c r="A74" s="60"/>
      <c r="B74" s="60"/>
      <c r="C74" s="62" t="s">
        <v>63</v>
      </c>
      <c r="D74" s="63">
        <v>0</v>
      </c>
      <c r="E74" s="63">
        <v>0</v>
      </c>
      <c r="F74" s="63">
        <v>-139</v>
      </c>
      <c r="G74" s="63">
        <f t="shared" si="28"/>
        <v>-139</v>
      </c>
      <c r="H74" s="80"/>
    </row>
    <row r="75" spans="1:9" s="65" customFormat="1" x14ac:dyDescent="0.35">
      <c r="A75" s="60"/>
      <c r="B75" s="60"/>
      <c r="C75" s="60" t="s">
        <v>116</v>
      </c>
      <c r="D75" s="64">
        <v>-52353</v>
      </c>
      <c r="E75" s="64">
        <f t="shared" ref="E75" si="32">D75</f>
        <v>-52353</v>
      </c>
      <c r="F75" s="64">
        <v>-50300</v>
      </c>
      <c r="G75" s="64">
        <f t="shared" si="28"/>
        <v>2053</v>
      </c>
      <c r="H75" s="68"/>
      <c r="I75" s="68"/>
    </row>
    <row r="76" spans="1:9" x14ac:dyDescent="0.35">
      <c r="A76" s="60"/>
      <c r="B76" s="60" t="s">
        <v>125</v>
      </c>
      <c r="C76" s="60"/>
      <c r="D76" s="64">
        <f>SUM(D78:D81)</f>
        <v>-1377374</v>
      </c>
      <c r="E76" s="64">
        <f>SUM(E77:E81)</f>
        <v>-1983032</v>
      </c>
      <c r="F76" s="64">
        <f t="shared" ref="F76" si="33">SUM(F78:F81)</f>
        <v>-1690542</v>
      </c>
      <c r="G76" s="64">
        <f t="shared" si="28"/>
        <v>292490</v>
      </c>
    </row>
    <row r="77" spans="1:9" x14ac:dyDescent="0.35">
      <c r="A77" s="62"/>
      <c r="B77" s="62"/>
      <c r="C77" s="62" t="s">
        <v>153</v>
      </c>
      <c r="D77" s="63">
        <v>0</v>
      </c>
      <c r="E77" s="63">
        <f>E90+E94</f>
        <v>-429583</v>
      </c>
      <c r="F77" s="63">
        <v>0</v>
      </c>
      <c r="G77" s="63">
        <f t="shared" si="28"/>
        <v>429583</v>
      </c>
    </row>
    <row r="78" spans="1:9" x14ac:dyDescent="0.35">
      <c r="A78" s="62"/>
      <c r="B78" s="62"/>
      <c r="C78" s="62" t="s">
        <v>62</v>
      </c>
      <c r="D78" s="63">
        <f>D83+D91</f>
        <v>-1326693</v>
      </c>
      <c r="E78" s="63">
        <f>E83+E91</f>
        <v>-1351377</v>
      </c>
      <c r="F78" s="63">
        <f>F83+F91</f>
        <v>-1522248</v>
      </c>
      <c r="G78" s="63">
        <f t="shared" ref="G78:G91" si="34">F78-E78</f>
        <v>-170871</v>
      </c>
    </row>
    <row r="79" spans="1:9" x14ac:dyDescent="0.35">
      <c r="A79" s="62"/>
      <c r="B79" s="62"/>
      <c r="C79" s="62" t="s">
        <v>63</v>
      </c>
      <c r="D79" s="63">
        <f>D84+D95+D92</f>
        <v>-50681</v>
      </c>
      <c r="E79" s="63">
        <f>E84+E95+E92</f>
        <v>-186863</v>
      </c>
      <c r="F79" s="63">
        <f>F84+F95+F92</f>
        <v>-180166</v>
      </c>
      <c r="G79" s="63">
        <f>F79-E79</f>
        <v>6697</v>
      </c>
    </row>
    <row r="80" spans="1:9" x14ac:dyDescent="0.35">
      <c r="A80" s="62"/>
      <c r="B80" s="62"/>
      <c r="C80" s="62" t="s">
        <v>107</v>
      </c>
      <c r="D80" s="63">
        <f>D85</f>
        <v>0</v>
      </c>
      <c r="E80" s="63">
        <f t="shared" ref="E80:F80" si="35">E85</f>
        <v>-1727</v>
      </c>
      <c r="F80" s="63">
        <f t="shared" si="35"/>
        <v>-1727</v>
      </c>
      <c r="G80" s="63">
        <f>F80-E80</f>
        <v>0</v>
      </c>
    </row>
    <row r="81" spans="1:9" x14ac:dyDescent="0.35">
      <c r="A81" s="62"/>
      <c r="B81" s="62"/>
      <c r="C81" s="62" t="s">
        <v>64</v>
      </c>
      <c r="D81" s="63">
        <f>D86+D88</f>
        <v>0</v>
      </c>
      <c r="E81" s="63">
        <f t="shared" ref="E81:F81" si="36">E86+E88</f>
        <v>-13482</v>
      </c>
      <c r="F81" s="63">
        <f t="shared" si="36"/>
        <v>13599</v>
      </c>
      <c r="G81" s="63">
        <f>F81-E81</f>
        <v>27081</v>
      </c>
    </row>
    <row r="82" spans="1:9" s="65" customFormat="1" x14ac:dyDescent="0.35">
      <c r="A82" s="60"/>
      <c r="B82" s="60"/>
      <c r="C82" s="60" t="s">
        <v>111</v>
      </c>
      <c r="D82" s="64">
        <f>SUM(D83:D86)</f>
        <v>-1376470</v>
      </c>
      <c r="E82" s="64">
        <f>SUM(E83:E86)</f>
        <v>-1553449</v>
      </c>
      <c r="F82" s="64">
        <f>SUM(F83:F86)</f>
        <v>-1493210</v>
      </c>
      <c r="G82" s="64">
        <f t="shared" si="34"/>
        <v>60239</v>
      </c>
      <c r="H82" s="68"/>
      <c r="I82" s="68"/>
    </row>
    <row r="83" spans="1:9" x14ac:dyDescent="0.35">
      <c r="A83" s="62"/>
      <c r="B83" s="62"/>
      <c r="C83" s="62" t="s">
        <v>62</v>
      </c>
      <c r="D83" s="63">
        <v>-1326693</v>
      </c>
      <c r="E83" s="63">
        <f>-1351377</f>
        <v>-1351377</v>
      </c>
      <c r="F83" s="63">
        <f>-1375514</f>
        <v>-1375514</v>
      </c>
      <c r="G83" s="63">
        <f t="shared" si="34"/>
        <v>-24137</v>
      </c>
    </row>
    <row r="84" spans="1:9" x14ac:dyDescent="0.35">
      <c r="A84" s="62"/>
      <c r="B84" s="62"/>
      <c r="C84" s="62" t="s">
        <v>63</v>
      </c>
      <c r="D84" s="63">
        <v>-49777</v>
      </c>
      <c r="E84" s="63">
        <v>-186863</v>
      </c>
      <c r="F84" s="63">
        <f>-129451</f>
        <v>-129451</v>
      </c>
      <c r="G84" s="63">
        <f t="shared" si="34"/>
        <v>57412</v>
      </c>
    </row>
    <row r="85" spans="1:9" x14ac:dyDescent="0.35">
      <c r="A85" s="62"/>
      <c r="B85" s="62"/>
      <c r="C85" s="62" t="s">
        <v>107</v>
      </c>
      <c r="D85" s="63">
        <v>0</v>
      </c>
      <c r="E85" s="63">
        <f>-1727</f>
        <v>-1727</v>
      </c>
      <c r="F85" s="63">
        <f>-1727</f>
        <v>-1727</v>
      </c>
      <c r="G85" s="63">
        <f t="shared" si="34"/>
        <v>0</v>
      </c>
    </row>
    <row r="86" spans="1:9" x14ac:dyDescent="0.35">
      <c r="A86" s="62"/>
      <c r="B86" s="62"/>
      <c r="C86" s="62" t="s">
        <v>64</v>
      </c>
      <c r="D86" s="63">
        <v>0</v>
      </c>
      <c r="E86" s="63">
        <f>-13482</f>
        <v>-13482</v>
      </c>
      <c r="F86" s="63">
        <v>13482</v>
      </c>
      <c r="G86" s="63">
        <f t="shared" si="34"/>
        <v>26964</v>
      </c>
    </row>
    <row r="87" spans="1:9" x14ac:dyDescent="0.35">
      <c r="A87" s="62"/>
      <c r="B87" s="62"/>
      <c r="C87" s="60" t="s">
        <v>112</v>
      </c>
      <c r="D87" s="64">
        <f>SUM(D88)</f>
        <v>0</v>
      </c>
      <c r="E87" s="64">
        <f>SUM(E88)</f>
        <v>0</v>
      </c>
      <c r="F87" s="64">
        <f>SUM(F88)</f>
        <v>117</v>
      </c>
      <c r="G87" s="64">
        <f>F87-E87</f>
        <v>117</v>
      </c>
    </row>
    <row r="88" spans="1:9" x14ac:dyDescent="0.35">
      <c r="A88" s="62"/>
      <c r="B88" s="62"/>
      <c r="C88" s="62" t="s">
        <v>64</v>
      </c>
      <c r="D88" s="63">
        <v>0</v>
      </c>
      <c r="E88" s="63">
        <v>0</v>
      </c>
      <c r="F88" s="63">
        <v>117</v>
      </c>
      <c r="G88" s="63">
        <f t="shared" si="34"/>
        <v>117</v>
      </c>
    </row>
    <row r="89" spans="1:9" x14ac:dyDescent="0.35">
      <c r="A89" s="62"/>
      <c r="B89" s="62"/>
      <c r="C89" s="60" t="s">
        <v>113</v>
      </c>
      <c r="D89" s="64">
        <f>SUM(D91:D92)</f>
        <v>0</v>
      </c>
      <c r="E89" s="64">
        <f>SUM(E90:E92)</f>
        <v>-428889</v>
      </c>
      <c r="F89" s="64">
        <f>SUM(F91:F92)</f>
        <v>-197449</v>
      </c>
      <c r="G89" s="64">
        <f t="shared" si="34"/>
        <v>231440</v>
      </c>
    </row>
    <row r="90" spans="1:9" x14ac:dyDescent="0.35">
      <c r="A90" s="62"/>
      <c r="B90" s="62"/>
      <c r="C90" s="62" t="s">
        <v>153</v>
      </c>
      <c r="D90" s="63">
        <v>0</v>
      </c>
      <c r="E90" s="63">
        <v>-428889</v>
      </c>
      <c r="F90" s="63">
        <v>0</v>
      </c>
      <c r="G90" s="63">
        <f t="shared" si="34"/>
        <v>428889</v>
      </c>
    </row>
    <row r="91" spans="1:9" x14ac:dyDescent="0.35">
      <c r="A91" s="62"/>
      <c r="B91" s="62"/>
      <c r="C91" s="62" t="s">
        <v>62</v>
      </c>
      <c r="D91" s="63">
        <v>0</v>
      </c>
      <c r="E91" s="63">
        <v>0</v>
      </c>
      <c r="F91" s="63">
        <v>-146734</v>
      </c>
      <c r="G91" s="63">
        <f t="shared" si="34"/>
        <v>-146734</v>
      </c>
    </row>
    <row r="92" spans="1:9" x14ac:dyDescent="0.35">
      <c r="A92" s="62"/>
      <c r="B92" s="62"/>
      <c r="C92" s="62" t="s">
        <v>63</v>
      </c>
      <c r="D92" s="63">
        <v>0</v>
      </c>
      <c r="E92" s="63">
        <v>0</v>
      </c>
      <c r="F92" s="63">
        <v>-50715</v>
      </c>
      <c r="G92" s="63">
        <f>F92-E92</f>
        <v>-50715</v>
      </c>
    </row>
    <row r="93" spans="1:9" s="65" customFormat="1" x14ac:dyDescent="0.35">
      <c r="A93" s="60"/>
      <c r="B93" s="60"/>
      <c r="C93" s="60" t="s">
        <v>114</v>
      </c>
      <c r="D93" s="64">
        <f>SUM(D95:D95)</f>
        <v>-904</v>
      </c>
      <c r="E93" s="64">
        <f>SUM(E94:E95)</f>
        <v>-694</v>
      </c>
      <c r="F93" s="64">
        <f>SUM(F95:F95)</f>
        <v>0</v>
      </c>
      <c r="G93" s="64">
        <f t="shared" ref="G93:G95" si="37">F93-E93</f>
        <v>694</v>
      </c>
      <c r="H93" s="68"/>
      <c r="I93" s="68"/>
    </row>
    <row r="94" spans="1:9" s="65" customFormat="1" x14ac:dyDescent="0.35">
      <c r="A94" s="60"/>
      <c r="B94" s="60"/>
      <c r="C94" s="60" t="s">
        <v>153</v>
      </c>
      <c r="D94" s="64">
        <v>0</v>
      </c>
      <c r="E94" s="64">
        <v>-694</v>
      </c>
      <c r="F94" s="64">
        <v>0</v>
      </c>
      <c r="G94" s="64"/>
      <c r="H94" s="68"/>
      <c r="I94" s="68"/>
    </row>
    <row r="95" spans="1:9" x14ac:dyDescent="0.35">
      <c r="A95" s="62"/>
      <c r="B95" s="62"/>
      <c r="C95" s="62" t="s">
        <v>63</v>
      </c>
      <c r="D95" s="63">
        <v>-904</v>
      </c>
      <c r="E95" s="63">
        <v>0</v>
      </c>
      <c r="F95" s="63">
        <v>0</v>
      </c>
      <c r="G95" s="63">
        <f t="shared" si="37"/>
        <v>0</v>
      </c>
    </row>
    <row r="96" spans="1:9" s="65" customFormat="1" ht="15.5" x14ac:dyDescent="0.35">
      <c r="A96" s="78" t="s">
        <v>127</v>
      </c>
      <c r="B96" s="60"/>
      <c r="C96" s="60"/>
      <c r="D96" s="64">
        <f>SUM(D97:D102)</f>
        <v>-12888631</v>
      </c>
      <c r="E96" s="64">
        <f t="shared" ref="E96:F96" si="38">SUM(E97:E102)</f>
        <v>-15735535</v>
      </c>
      <c r="F96" s="64">
        <f t="shared" si="38"/>
        <v>-12591929</v>
      </c>
      <c r="G96" s="64">
        <f t="shared" ref="G96:G102" si="39">F96-E96</f>
        <v>3143606</v>
      </c>
      <c r="H96" s="68"/>
      <c r="I96" s="68"/>
    </row>
    <row r="97" spans="1:8" x14ac:dyDescent="0.35">
      <c r="A97" s="62"/>
      <c r="B97" s="62" t="s">
        <v>111</v>
      </c>
      <c r="C97" s="62"/>
      <c r="D97" s="63">
        <f>D109+D121+D138+D147+D160</f>
        <v>-9610362</v>
      </c>
      <c r="E97" s="63">
        <f>E109+E121+E138+E147+E160</f>
        <v>-10237254</v>
      </c>
      <c r="F97" s="63">
        <f>F109+F121+F138+F147+F160</f>
        <v>-9881356</v>
      </c>
      <c r="G97" s="63">
        <f t="shared" si="39"/>
        <v>355898</v>
      </c>
    </row>
    <row r="98" spans="1:8" x14ac:dyDescent="0.35">
      <c r="A98" s="62"/>
      <c r="B98" s="62" t="s">
        <v>112</v>
      </c>
      <c r="C98" s="62"/>
      <c r="D98" s="63">
        <f>D140+D125</f>
        <v>-53391</v>
      </c>
      <c r="E98" s="63">
        <f>E140+E125</f>
        <v>-53391</v>
      </c>
      <c r="F98" s="63">
        <f>F140+F125</f>
        <v>-20476</v>
      </c>
      <c r="G98" s="63">
        <f t="shared" si="39"/>
        <v>32915</v>
      </c>
    </row>
    <row r="99" spans="1:8" x14ac:dyDescent="0.35">
      <c r="A99" s="62"/>
      <c r="B99" s="62" t="s">
        <v>113</v>
      </c>
      <c r="C99" s="62"/>
      <c r="D99" s="63">
        <f>D164+D127</f>
        <v>-845110</v>
      </c>
      <c r="E99" s="63">
        <f>E164+E127</f>
        <v>-2251187</v>
      </c>
      <c r="F99" s="63">
        <f>F164+F127</f>
        <v>-1210051</v>
      </c>
      <c r="G99" s="63">
        <f t="shared" si="39"/>
        <v>1041136</v>
      </c>
    </row>
    <row r="100" spans="1:8" x14ac:dyDescent="0.35">
      <c r="A100" s="62"/>
      <c r="B100" s="62" t="s">
        <v>114</v>
      </c>
      <c r="C100" s="62"/>
      <c r="D100" s="63">
        <f>D130+D151+D168</f>
        <v>-759616</v>
      </c>
      <c r="E100" s="63">
        <f>E130+E151+E168</f>
        <v>-1573551</v>
      </c>
      <c r="F100" s="63">
        <f>F130+F151+F168</f>
        <v>-56236</v>
      </c>
      <c r="G100" s="63">
        <f t="shared" si="39"/>
        <v>1517315</v>
      </c>
    </row>
    <row r="101" spans="1:8" x14ac:dyDescent="0.35">
      <c r="A101" s="62"/>
      <c r="B101" s="62" t="s">
        <v>129</v>
      </c>
      <c r="C101" s="62"/>
      <c r="D101" s="63">
        <f>D172</f>
        <v>-1500000</v>
      </c>
      <c r="E101" s="63">
        <f t="shared" ref="E101:F101" si="40">E172</f>
        <v>-1500000</v>
      </c>
      <c r="F101" s="63">
        <f t="shared" si="40"/>
        <v>-1384803</v>
      </c>
      <c r="G101" s="63">
        <f t="shared" si="39"/>
        <v>115197</v>
      </c>
    </row>
    <row r="102" spans="1:8" x14ac:dyDescent="0.35">
      <c r="A102" s="62"/>
      <c r="B102" s="62" t="s">
        <v>115</v>
      </c>
      <c r="C102" s="62"/>
      <c r="D102" s="63">
        <f>D134+D114</f>
        <v>-120152</v>
      </c>
      <c r="E102" s="63">
        <f>E134+E114</f>
        <v>-120152</v>
      </c>
      <c r="F102" s="63">
        <f>F134+F114</f>
        <v>-39007</v>
      </c>
      <c r="G102" s="63">
        <f t="shared" si="39"/>
        <v>81145</v>
      </c>
    </row>
    <row r="103" spans="1:8" x14ac:dyDescent="0.35">
      <c r="A103" s="60"/>
      <c r="B103" s="60" t="s">
        <v>123</v>
      </c>
      <c r="C103" s="60"/>
      <c r="D103" s="64">
        <f>SUM(D104:D108)</f>
        <v>-1604905</v>
      </c>
      <c r="E103" s="64">
        <f t="shared" ref="E103:F103" si="41">SUM(E104:E108)</f>
        <v>-1551874</v>
      </c>
      <c r="F103" s="64">
        <f t="shared" si="41"/>
        <v>-1314370</v>
      </c>
      <c r="G103" s="64">
        <f>F103-E103</f>
        <v>237504</v>
      </c>
    </row>
    <row r="104" spans="1:8" x14ac:dyDescent="0.35">
      <c r="A104" s="62"/>
      <c r="B104" s="62"/>
      <c r="C104" s="62" t="s">
        <v>62</v>
      </c>
      <c r="D104" s="63">
        <f t="shared" ref="D104:F105" si="42">D110</f>
        <v>-1085616</v>
      </c>
      <c r="E104" s="63">
        <f t="shared" si="42"/>
        <v>-1110901</v>
      </c>
      <c r="F104" s="63">
        <f t="shared" si="42"/>
        <v>-1040449</v>
      </c>
      <c r="G104" s="63">
        <f t="shared" ref="G104:G109" si="43">F104-E104</f>
        <v>70452</v>
      </c>
    </row>
    <row r="105" spans="1:8" x14ac:dyDescent="0.35">
      <c r="A105" s="62"/>
      <c r="B105" s="62"/>
      <c r="C105" s="62" t="s">
        <v>63</v>
      </c>
      <c r="D105" s="63">
        <f t="shared" si="42"/>
        <v>-486803</v>
      </c>
      <c r="E105" s="63">
        <f t="shared" si="42"/>
        <v>-408381</v>
      </c>
      <c r="F105" s="63">
        <f t="shared" si="42"/>
        <v>-245044</v>
      </c>
      <c r="G105" s="63">
        <f t="shared" si="43"/>
        <v>163337</v>
      </c>
    </row>
    <row r="106" spans="1:8" x14ac:dyDescent="0.35">
      <c r="A106" s="62"/>
      <c r="B106" s="62"/>
      <c r="C106" s="62" t="s">
        <v>106</v>
      </c>
      <c r="D106" s="63">
        <f>D112</f>
        <v>0</v>
      </c>
      <c r="E106" s="63">
        <f t="shared" ref="E106:F106" si="44">E112</f>
        <v>-6000</v>
      </c>
      <c r="F106" s="63">
        <f t="shared" si="44"/>
        <v>-6000</v>
      </c>
      <c r="G106" s="63">
        <f t="shared" si="43"/>
        <v>0</v>
      </c>
    </row>
    <row r="107" spans="1:8" x14ac:dyDescent="0.35">
      <c r="A107" s="62"/>
      <c r="B107" s="62"/>
      <c r="C107" s="62" t="s">
        <v>107</v>
      </c>
      <c r="D107" s="63">
        <f>D113</f>
        <v>-32486</v>
      </c>
      <c r="E107" s="63">
        <f t="shared" ref="E107:F107" si="45">E113</f>
        <v>-26592</v>
      </c>
      <c r="F107" s="63">
        <f t="shared" si="45"/>
        <v>-21909</v>
      </c>
      <c r="G107" s="63">
        <f t="shared" si="43"/>
        <v>4683</v>
      </c>
    </row>
    <row r="108" spans="1:8" x14ac:dyDescent="0.35">
      <c r="A108" s="62"/>
      <c r="B108" s="62"/>
      <c r="C108" s="62" t="s">
        <v>108</v>
      </c>
      <c r="D108" s="63">
        <f>D114</f>
        <v>0</v>
      </c>
      <c r="E108" s="63">
        <f t="shared" ref="E108:F108" si="46">E114</f>
        <v>0</v>
      </c>
      <c r="F108" s="63">
        <f t="shared" si="46"/>
        <v>-968</v>
      </c>
      <c r="G108" s="63">
        <f t="shared" si="43"/>
        <v>-968</v>
      </c>
    </row>
    <row r="109" spans="1:8" x14ac:dyDescent="0.35">
      <c r="A109" s="60"/>
      <c r="B109" s="60"/>
      <c r="C109" s="60" t="s">
        <v>111</v>
      </c>
      <c r="D109" s="64">
        <f>SUM(D110:D113)</f>
        <v>-1604905</v>
      </c>
      <c r="E109" s="64">
        <f>SUM(E110:E113)</f>
        <v>-1551874</v>
      </c>
      <c r="F109" s="64">
        <f>SUM(F110:F113)</f>
        <v>-1313402</v>
      </c>
      <c r="G109" s="64">
        <f t="shared" si="43"/>
        <v>238472</v>
      </c>
    </row>
    <row r="110" spans="1:8" x14ac:dyDescent="0.35">
      <c r="A110" s="62"/>
      <c r="B110" s="62"/>
      <c r="C110" s="62" t="s">
        <v>62</v>
      </c>
      <c r="D110" s="63">
        <v>-1085616</v>
      </c>
      <c r="E110" s="63">
        <v>-1110901</v>
      </c>
      <c r="F110" s="63">
        <v>-1040449</v>
      </c>
      <c r="G110" s="63">
        <f t="shared" ref="G110:G114" si="47">F110-E110</f>
        <v>70452</v>
      </c>
    </row>
    <row r="111" spans="1:8" x14ac:dyDescent="0.35">
      <c r="A111" s="62"/>
      <c r="B111" s="62"/>
      <c r="C111" s="62" t="s">
        <v>63</v>
      </c>
      <c r="D111" s="63">
        <v>-486803</v>
      </c>
      <c r="E111" s="63">
        <v>-408381</v>
      </c>
      <c r="F111" s="63">
        <v>-245044</v>
      </c>
      <c r="G111" s="63">
        <f t="shared" si="47"/>
        <v>163337</v>
      </c>
    </row>
    <row r="112" spans="1:8" x14ac:dyDescent="0.35">
      <c r="A112" s="62"/>
      <c r="B112" s="62"/>
      <c r="C112" s="62" t="s">
        <v>106</v>
      </c>
      <c r="D112" s="63">
        <v>0</v>
      </c>
      <c r="E112" s="63">
        <v>-6000</v>
      </c>
      <c r="F112" s="63">
        <v>-6000</v>
      </c>
      <c r="G112" s="63">
        <f t="shared" si="47"/>
        <v>0</v>
      </c>
      <c r="H112" s="80"/>
    </row>
    <row r="113" spans="1:10" x14ac:dyDescent="0.35">
      <c r="A113" s="62"/>
      <c r="B113" s="62"/>
      <c r="C113" s="62" t="s">
        <v>107</v>
      </c>
      <c r="D113" s="63">
        <v>-32486</v>
      </c>
      <c r="E113" s="63">
        <v>-26592</v>
      </c>
      <c r="F113" s="63">
        <v>-21909</v>
      </c>
      <c r="G113" s="63">
        <f t="shared" si="47"/>
        <v>4683</v>
      </c>
      <c r="H113" s="80"/>
    </row>
    <row r="114" spans="1:10" x14ac:dyDescent="0.35">
      <c r="A114" s="62"/>
      <c r="B114" s="62"/>
      <c r="C114" s="60" t="s">
        <v>116</v>
      </c>
      <c r="D114" s="64">
        <v>0</v>
      </c>
      <c r="E114" s="64">
        <v>0</v>
      </c>
      <c r="F114" s="64">
        <v>-968</v>
      </c>
      <c r="G114" s="64">
        <f t="shared" si="47"/>
        <v>-968</v>
      </c>
      <c r="H114" s="80"/>
    </row>
    <row r="115" spans="1:10" ht="14.25" customHeight="1" x14ac:dyDescent="0.35">
      <c r="A115" s="60"/>
      <c r="B115" s="60" t="s">
        <v>155</v>
      </c>
      <c r="C115" s="60"/>
      <c r="D115" s="64">
        <f>SUM(D117:D120)</f>
        <v>-476109</v>
      </c>
      <c r="E115" s="64">
        <f>SUM(E116:E120)</f>
        <v>-935669</v>
      </c>
      <c r="F115" s="64">
        <f>SUM(F117:F120)</f>
        <v>-575878</v>
      </c>
      <c r="G115" s="64">
        <f>F115-E115</f>
        <v>359791</v>
      </c>
      <c r="H115" s="80"/>
    </row>
    <row r="116" spans="1:10" ht="14.25" customHeight="1" x14ac:dyDescent="0.35">
      <c r="A116" s="62"/>
      <c r="B116" s="62"/>
      <c r="C116" s="62" t="s">
        <v>153</v>
      </c>
      <c r="D116" s="63">
        <v>0</v>
      </c>
      <c r="E116" s="63">
        <f>E128+E131</f>
        <v>-344089</v>
      </c>
      <c r="F116" s="63">
        <v>0</v>
      </c>
      <c r="G116" s="63">
        <f>F116-E116</f>
        <v>344089</v>
      </c>
      <c r="H116" s="81"/>
      <c r="J116" s="83"/>
    </row>
    <row r="117" spans="1:10" x14ac:dyDescent="0.35">
      <c r="A117" s="62"/>
      <c r="B117" s="62"/>
      <c r="C117" s="62" t="s">
        <v>62</v>
      </c>
      <c r="D117" s="63">
        <f>D122+D132+D129</f>
        <v>-336804</v>
      </c>
      <c r="E117" s="63">
        <f>E122+E132+E129</f>
        <v>-423910</v>
      </c>
      <c r="F117" s="63">
        <f>F122+F132+F129</f>
        <v>-493220</v>
      </c>
      <c r="G117" s="63">
        <f t="shared" ref="G117:G120" si="48">F117-E117</f>
        <v>-69310</v>
      </c>
      <c r="H117" s="84"/>
    </row>
    <row r="118" spans="1:10" x14ac:dyDescent="0.35">
      <c r="A118" s="62"/>
      <c r="B118" s="62"/>
      <c r="C118" s="62" t="s">
        <v>63</v>
      </c>
      <c r="D118" s="63">
        <f>D123+D133</f>
        <v>-18853</v>
      </c>
      <c r="E118" s="63">
        <f>E123+E133</f>
        <v>-47218</v>
      </c>
      <c r="F118" s="63">
        <f>F123+F133</f>
        <v>-44619</v>
      </c>
      <c r="G118" s="63">
        <f t="shared" si="48"/>
        <v>2599</v>
      </c>
      <c r="H118" s="83"/>
    </row>
    <row r="119" spans="1:10" x14ac:dyDescent="0.35">
      <c r="A119" s="62"/>
      <c r="B119" s="62"/>
      <c r="C119" s="62" t="s">
        <v>107</v>
      </c>
      <c r="D119" s="63">
        <f>D124</f>
        <v>-300</v>
      </c>
      <c r="E119" s="63">
        <f t="shared" ref="E119:F119" si="49">E124</f>
        <v>-300</v>
      </c>
      <c r="F119" s="63">
        <f t="shared" si="49"/>
        <v>0</v>
      </c>
      <c r="G119" s="63">
        <f t="shared" si="48"/>
        <v>300</v>
      </c>
      <c r="H119" s="85"/>
    </row>
    <row r="120" spans="1:10" x14ac:dyDescent="0.35">
      <c r="A120" s="62"/>
      <c r="B120" s="62"/>
      <c r="C120" s="62" t="s">
        <v>108</v>
      </c>
      <c r="D120" s="63">
        <f>D134+D126</f>
        <v>-120152</v>
      </c>
      <c r="E120" s="63">
        <f>E134+E126</f>
        <v>-120152</v>
      </c>
      <c r="F120" s="63">
        <f>F134+F126</f>
        <v>-38039</v>
      </c>
      <c r="G120" s="63">
        <f t="shared" si="48"/>
        <v>82113</v>
      </c>
      <c r="H120" s="85"/>
    </row>
    <row r="121" spans="1:10" x14ac:dyDescent="0.35">
      <c r="A121" s="60"/>
      <c r="B121" s="60"/>
      <c r="C121" s="60" t="s">
        <v>111</v>
      </c>
      <c r="D121" s="64">
        <f>SUM(D122:D124)</f>
        <v>-198221</v>
      </c>
      <c r="E121" s="64">
        <f t="shared" ref="E121:F121" si="50">SUM(E122:E124)</f>
        <v>-471428</v>
      </c>
      <c r="F121" s="64">
        <f t="shared" si="50"/>
        <v>-461028</v>
      </c>
      <c r="G121" s="64">
        <f>F121-E121</f>
        <v>10400</v>
      </c>
      <c r="H121" s="80"/>
    </row>
    <row r="122" spans="1:10" x14ac:dyDescent="0.35">
      <c r="A122" s="62"/>
      <c r="B122" s="62"/>
      <c r="C122" s="62" t="s">
        <v>62</v>
      </c>
      <c r="D122" s="63">
        <v>-179068</v>
      </c>
      <c r="E122" s="63">
        <v>-423910</v>
      </c>
      <c r="F122" s="63">
        <v>-416610</v>
      </c>
      <c r="G122" s="63">
        <f t="shared" ref="G122:G135" si="51">F122-E122</f>
        <v>7300</v>
      </c>
      <c r="H122" s="80"/>
    </row>
    <row r="123" spans="1:10" x14ac:dyDescent="0.35">
      <c r="A123" s="60"/>
      <c r="B123" s="60"/>
      <c r="C123" s="62" t="s">
        <v>63</v>
      </c>
      <c r="D123" s="63">
        <v>-18853</v>
      </c>
      <c r="E123" s="63">
        <v>-47218</v>
      </c>
      <c r="F123" s="63">
        <v>-44418</v>
      </c>
      <c r="G123" s="63">
        <f>F123-E123</f>
        <v>2800</v>
      </c>
      <c r="H123" s="80"/>
    </row>
    <row r="124" spans="1:10" x14ac:dyDescent="0.35">
      <c r="A124" s="60"/>
      <c r="B124" s="60"/>
      <c r="C124" s="62" t="s">
        <v>107</v>
      </c>
      <c r="D124" s="63">
        <v>-300</v>
      </c>
      <c r="E124" s="63">
        <v>-300</v>
      </c>
      <c r="F124" s="63">
        <v>0</v>
      </c>
      <c r="G124" s="63">
        <f t="shared" si="51"/>
        <v>300</v>
      </c>
    </row>
    <row r="125" spans="1:10" x14ac:dyDescent="0.35">
      <c r="A125" s="60"/>
      <c r="B125" s="60"/>
      <c r="C125" s="60" t="s">
        <v>112</v>
      </c>
      <c r="D125" s="64">
        <f>SUM(D126)</f>
        <v>0</v>
      </c>
      <c r="E125" s="64">
        <f t="shared" ref="E125:F125" si="52">SUM(E126)</f>
        <v>0</v>
      </c>
      <c r="F125" s="64">
        <f t="shared" si="52"/>
        <v>0</v>
      </c>
      <c r="G125" s="63">
        <f t="shared" si="51"/>
        <v>0</v>
      </c>
    </row>
    <row r="126" spans="1:10" x14ac:dyDescent="0.35">
      <c r="A126" s="60"/>
      <c r="B126" s="60"/>
      <c r="C126" s="62" t="s">
        <v>64</v>
      </c>
      <c r="D126" s="63">
        <v>0</v>
      </c>
      <c r="E126" s="63">
        <v>0</v>
      </c>
      <c r="F126" s="63">
        <v>0</v>
      </c>
      <c r="G126" s="63">
        <f t="shared" si="51"/>
        <v>0</v>
      </c>
    </row>
    <row r="127" spans="1:10" x14ac:dyDescent="0.35">
      <c r="A127" s="60"/>
      <c r="B127" s="60"/>
      <c r="C127" s="60" t="s">
        <v>113</v>
      </c>
      <c r="D127" s="64">
        <f>SUM(D129:D129)</f>
        <v>0</v>
      </c>
      <c r="E127" s="64">
        <f>SUM(E128:E129)</f>
        <v>-31260</v>
      </c>
      <c r="F127" s="64">
        <f>SUM(F129:F129)</f>
        <v>-22545</v>
      </c>
      <c r="G127" s="64">
        <f t="shared" si="51"/>
        <v>8715</v>
      </c>
    </row>
    <row r="128" spans="1:10" x14ac:dyDescent="0.35">
      <c r="A128" s="62"/>
      <c r="B128" s="62"/>
      <c r="C128" s="62" t="s">
        <v>153</v>
      </c>
      <c r="D128" s="63">
        <v>0</v>
      </c>
      <c r="E128" s="63">
        <v>-31260</v>
      </c>
      <c r="F128" s="63">
        <v>0</v>
      </c>
      <c r="G128" s="63">
        <f t="shared" si="51"/>
        <v>31260</v>
      </c>
    </row>
    <row r="129" spans="1:9" x14ac:dyDescent="0.35">
      <c r="A129" s="60"/>
      <c r="B129" s="60"/>
      <c r="C129" s="62" t="s">
        <v>62</v>
      </c>
      <c r="D129" s="63">
        <v>0</v>
      </c>
      <c r="E129" s="63">
        <v>0</v>
      </c>
      <c r="F129" s="63">
        <v>-22545</v>
      </c>
      <c r="G129" s="63">
        <f t="shared" si="51"/>
        <v>-22545</v>
      </c>
    </row>
    <row r="130" spans="1:9" s="65" customFormat="1" x14ac:dyDescent="0.35">
      <c r="A130" s="60"/>
      <c r="B130" s="60"/>
      <c r="C130" s="60" t="s">
        <v>114</v>
      </c>
      <c r="D130" s="64">
        <f>SUM(D132:D133)</f>
        <v>-157736</v>
      </c>
      <c r="E130" s="64">
        <f>SUM(E131:E133)</f>
        <v>-312829</v>
      </c>
      <c r="F130" s="64">
        <f t="shared" ref="F130" si="53">SUM(F132:F133)</f>
        <v>-54266</v>
      </c>
      <c r="G130" s="64">
        <f t="shared" si="51"/>
        <v>258563</v>
      </c>
      <c r="H130" s="68"/>
      <c r="I130" s="68"/>
    </row>
    <row r="131" spans="1:9" x14ac:dyDescent="0.35">
      <c r="A131" s="62"/>
      <c r="B131" s="62"/>
      <c r="C131" s="62" t="s">
        <v>153</v>
      </c>
      <c r="D131" s="63">
        <v>0</v>
      </c>
      <c r="E131" s="63">
        <v>-312829</v>
      </c>
      <c r="F131" s="63">
        <v>0</v>
      </c>
      <c r="G131" s="63">
        <f t="shared" si="51"/>
        <v>312829</v>
      </c>
    </row>
    <row r="132" spans="1:9" x14ac:dyDescent="0.35">
      <c r="A132" s="60"/>
      <c r="B132" s="60"/>
      <c r="C132" s="62" t="s">
        <v>62</v>
      </c>
      <c r="D132" s="63">
        <v>-157736</v>
      </c>
      <c r="E132" s="63">
        <v>0</v>
      </c>
      <c r="F132" s="63">
        <v>-54065</v>
      </c>
      <c r="G132" s="63">
        <f t="shared" si="51"/>
        <v>-54065</v>
      </c>
    </row>
    <row r="133" spans="1:9" x14ac:dyDescent="0.35">
      <c r="A133" s="60"/>
      <c r="B133" s="60"/>
      <c r="C133" s="62" t="s">
        <v>63</v>
      </c>
      <c r="D133" s="63">
        <v>0</v>
      </c>
      <c r="E133" s="63">
        <v>0</v>
      </c>
      <c r="F133" s="63">
        <v>-201</v>
      </c>
      <c r="G133" s="63">
        <f t="shared" si="51"/>
        <v>-201</v>
      </c>
      <c r="H133" s="80"/>
    </row>
    <row r="134" spans="1:9" s="65" customFormat="1" x14ac:dyDescent="0.35">
      <c r="A134" s="60"/>
      <c r="B134" s="60"/>
      <c r="C134" s="60" t="s">
        <v>116</v>
      </c>
      <c r="D134" s="64">
        <v>-120152</v>
      </c>
      <c r="E134" s="64">
        <v>-120152</v>
      </c>
      <c r="F134" s="64">
        <v>-38039</v>
      </c>
      <c r="G134" s="64">
        <f t="shared" si="51"/>
        <v>82113</v>
      </c>
      <c r="H134" s="68"/>
      <c r="I134" s="68"/>
    </row>
    <row r="135" spans="1:9" x14ac:dyDescent="0.35">
      <c r="A135" s="60"/>
      <c r="B135" s="60" t="s">
        <v>156</v>
      </c>
      <c r="C135" s="60"/>
      <c r="D135" s="64">
        <f>SUM(D136:D137)</f>
        <v>-3184073</v>
      </c>
      <c r="E135" s="64">
        <f>SUM(E136:E137)</f>
        <v>-3164073</v>
      </c>
      <c r="F135" s="64">
        <f>SUM(F136:F137)</f>
        <v>-3139104</v>
      </c>
      <c r="G135" s="64">
        <f t="shared" si="51"/>
        <v>24969</v>
      </c>
    </row>
    <row r="136" spans="1:9" x14ac:dyDescent="0.35">
      <c r="A136" s="62"/>
      <c r="B136" s="62"/>
      <c r="C136" s="62" t="s">
        <v>62</v>
      </c>
      <c r="D136" s="63">
        <f>D139</f>
        <v>-3130682</v>
      </c>
      <c r="E136" s="63">
        <f t="shared" ref="E136:F136" si="54">E139</f>
        <v>-3110682</v>
      </c>
      <c r="F136" s="63">
        <f t="shared" si="54"/>
        <v>-3118628</v>
      </c>
      <c r="G136" s="63">
        <f t="shared" ref="G136:G141" si="55">F136-E136</f>
        <v>-7946</v>
      </c>
    </row>
    <row r="137" spans="1:9" x14ac:dyDescent="0.35">
      <c r="A137" s="62"/>
      <c r="B137" s="62"/>
      <c r="C137" s="62" t="s">
        <v>63</v>
      </c>
      <c r="D137" s="63">
        <f>D141</f>
        <v>-53391</v>
      </c>
      <c r="E137" s="63">
        <f t="shared" ref="E137:F137" si="56">E141</f>
        <v>-53391</v>
      </c>
      <c r="F137" s="63">
        <f t="shared" si="56"/>
        <v>-20476</v>
      </c>
      <c r="G137" s="63">
        <f t="shared" si="55"/>
        <v>32915</v>
      </c>
    </row>
    <row r="138" spans="1:9" s="65" customFormat="1" x14ac:dyDescent="0.35">
      <c r="A138" s="60"/>
      <c r="B138" s="60"/>
      <c r="C138" s="60" t="s">
        <v>111</v>
      </c>
      <c r="D138" s="64">
        <f>SUM(D139:D139)</f>
        <v>-3130682</v>
      </c>
      <c r="E138" s="64">
        <f>SUM(E139:E139)</f>
        <v>-3110682</v>
      </c>
      <c r="F138" s="64">
        <f>SUM(F139:F139)</f>
        <v>-3118628</v>
      </c>
      <c r="G138" s="64">
        <f t="shared" si="55"/>
        <v>-7946</v>
      </c>
      <c r="H138" s="68"/>
      <c r="I138" s="68"/>
    </row>
    <row r="139" spans="1:9" x14ac:dyDescent="0.35">
      <c r="A139" s="62"/>
      <c r="B139" s="62"/>
      <c r="C139" s="62" t="s">
        <v>62</v>
      </c>
      <c r="D139" s="63">
        <v>-3130682</v>
      </c>
      <c r="E139" s="63">
        <v>-3110682</v>
      </c>
      <c r="F139" s="63">
        <v>-3118628</v>
      </c>
      <c r="G139" s="63">
        <f t="shared" si="55"/>
        <v>-7946</v>
      </c>
    </row>
    <row r="140" spans="1:9" s="65" customFormat="1" x14ac:dyDescent="0.35">
      <c r="A140" s="60"/>
      <c r="B140" s="60"/>
      <c r="C140" s="60" t="s">
        <v>112</v>
      </c>
      <c r="D140" s="64">
        <f>SUM(D141:D141)</f>
        <v>-53391</v>
      </c>
      <c r="E140" s="64">
        <f>SUM(E141:E141)</f>
        <v>-53391</v>
      </c>
      <c r="F140" s="64">
        <f>SUM(F141:F141)</f>
        <v>-20476</v>
      </c>
      <c r="G140" s="64">
        <f t="shared" si="55"/>
        <v>32915</v>
      </c>
      <c r="H140" s="68"/>
      <c r="I140" s="68"/>
    </row>
    <row r="141" spans="1:9" x14ac:dyDescent="0.35">
      <c r="A141" s="62"/>
      <c r="B141" s="62"/>
      <c r="C141" s="62" t="s">
        <v>63</v>
      </c>
      <c r="D141" s="63">
        <v>-53391</v>
      </c>
      <c r="E141" s="63">
        <v>-53391</v>
      </c>
      <c r="F141" s="63">
        <v>-20476</v>
      </c>
      <c r="G141" s="63">
        <f t="shared" si="55"/>
        <v>32915</v>
      </c>
    </row>
    <row r="142" spans="1:9" ht="14.25" customHeight="1" x14ac:dyDescent="0.35">
      <c r="A142" s="60"/>
      <c r="B142" s="60" t="s">
        <v>128</v>
      </c>
      <c r="C142" s="60"/>
      <c r="D142" s="64">
        <f>SUM(D144:D146)</f>
        <v>-3837326</v>
      </c>
      <c r="E142" s="64">
        <f>SUM(E143:E146)</f>
        <v>-4869562</v>
      </c>
      <c r="F142" s="64">
        <f>SUM(F144:F146)</f>
        <v>-3520017</v>
      </c>
      <c r="G142" s="64">
        <f>F142-E142</f>
        <v>1349545</v>
      </c>
    </row>
    <row r="143" spans="1:9" ht="14.25" customHeight="1" x14ac:dyDescent="0.35">
      <c r="A143" s="62"/>
      <c r="B143" s="62"/>
      <c r="C143" s="62" t="s">
        <v>153</v>
      </c>
      <c r="D143" s="63">
        <v>0</v>
      </c>
      <c r="E143" s="63">
        <f>E152</f>
        <v>-1253454</v>
      </c>
      <c r="F143" s="63">
        <v>0</v>
      </c>
      <c r="G143" s="63">
        <f t="shared" ref="G143:G146" si="57">F143-E143</f>
        <v>1253454</v>
      </c>
    </row>
    <row r="144" spans="1:9" x14ac:dyDescent="0.35">
      <c r="A144" s="62"/>
      <c r="B144" s="62"/>
      <c r="C144" s="62" t="s">
        <v>62</v>
      </c>
      <c r="D144" s="63">
        <f>D148</f>
        <v>-2698675</v>
      </c>
      <c r="E144" s="63">
        <f t="shared" ref="E144:F144" si="58">E148</f>
        <v>-2887412</v>
      </c>
      <c r="F144" s="63">
        <f t="shared" si="58"/>
        <v>-2849929</v>
      </c>
      <c r="G144" s="63">
        <f t="shared" si="57"/>
        <v>37483</v>
      </c>
    </row>
    <row r="145" spans="1:9" x14ac:dyDescent="0.35">
      <c r="A145" s="62"/>
      <c r="B145" s="62"/>
      <c r="C145" s="62" t="s">
        <v>63</v>
      </c>
      <c r="D145" s="63">
        <f>D149</f>
        <v>-523651</v>
      </c>
      <c r="E145" s="63">
        <f t="shared" ref="E145:F145" si="59">E149</f>
        <v>-707113</v>
      </c>
      <c r="F145" s="63">
        <f t="shared" si="59"/>
        <v>-648505</v>
      </c>
      <c r="G145" s="63">
        <f t="shared" si="57"/>
        <v>58608</v>
      </c>
    </row>
    <row r="146" spans="1:9" x14ac:dyDescent="0.35">
      <c r="A146" s="62"/>
      <c r="B146" s="62"/>
      <c r="C146" s="62" t="s">
        <v>107</v>
      </c>
      <c r="D146" s="63">
        <f>D150+D153</f>
        <v>-615000</v>
      </c>
      <c r="E146" s="63">
        <f t="shared" ref="E146:F146" si="60">E150+E153</f>
        <v>-21583</v>
      </c>
      <c r="F146" s="63">
        <f t="shared" si="60"/>
        <v>-21583</v>
      </c>
      <c r="G146" s="63">
        <f t="shared" si="57"/>
        <v>0</v>
      </c>
    </row>
    <row r="147" spans="1:9" x14ac:dyDescent="0.35">
      <c r="A147" s="60"/>
      <c r="B147" s="60"/>
      <c r="C147" s="60" t="s">
        <v>111</v>
      </c>
      <c r="D147" s="64">
        <f>SUM(D148:D150)</f>
        <v>-3237326</v>
      </c>
      <c r="E147" s="64">
        <f t="shared" ref="E147" si="61">SUM(E148:E150)</f>
        <v>-3616108</v>
      </c>
      <c r="F147" s="64">
        <f t="shared" ref="F147" si="62">SUM(F148:F150)</f>
        <v>-3520017</v>
      </c>
      <c r="G147" s="64">
        <f>F147-E147</f>
        <v>96091</v>
      </c>
    </row>
    <row r="148" spans="1:9" x14ac:dyDescent="0.35">
      <c r="A148" s="62"/>
      <c r="B148" s="62"/>
      <c r="C148" s="62" t="s">
        <v>62</v>
      </c>
      <c r="D148" s="63">
        <v>-2698675</v>
      </c>
      <c r="E148" s="63">
        <v>-2887412</v>
      </c>
      <c r="F148" s="63">
        <v>-2849929</v>
      </c>
      <c r="G148" s="63">
        <f t="shared" ref="G148:G153" si="63">F148-E148</f>
        <v>37483</v>
      </c>
    </row>
    <row r="149" spans="1:9" x14ac:dyDescent="0.35">
      <c r="A149" s="60"/>
      <c r="B149" s="60"/>
      <c r="C149" s="62" t="s">
        <v>63</v>
      </c>
      <c r="D149" s="63">
        <v>-523651</v>
      </c>
      <c r="E149" s="63">
        <v>-707113</v>
      </c>
      <c r="F149" s="63">
        <v>-648505</v>
      </c>
      <c r="G149" s="63">
        <f t="shared" si="63"/>
        <v>58608</v>
      </c>
    </row>
    <row r="150" spans="1:9" x14ac:dyDescent="0.35">
      <c r="A150" s="60"/>
      <c r="B150" s="60"/>
      <c r="C150" s="62" t="s">
        <v>107</v>
      </c>
      <c r="D150" s="63">
        <v>-15000</v>
      </c>
      <c r="E150" s="63">
        <v>-21583</v>
      </c>
      <c r="F150" s="63">
        <v>-21583</v>
      </c>
      <c r="G150" s="63">
        <f t="shared" si="63"/>
        <v>0</v>
      </c>
    </row>
    <row r="151" spans="1:9" s="65" customFormat="1" x14ac:dyDescent="0.35">
      <c r="A151" s="60"/>
      <c r="B151" s="60"/>
      <c r="C151" s="60" t="s">
        <v>114</v>
      </c>
      <c r="D151" s="64">
        <f>SUM(D153:D153)</f>
        <v>-600000</v>
      </c>
      <c r="E151" s="64">
        <f>SUM(E152:E153)</f>
        <v>-1253454</v>
      </c>
      <c r="F151" s="64">
        <f>SUM(F153:F153)</f>
        <v>0</v>
      </c>
      <c r="G151" s="64">
        <f t="shared" si="63"/>
        <v>1253454</v>
      </c>
      <c r="H151" s="68"/>
      <c r="I151" s="68"/>
    </row>
    <row r="152" spans="1:9" s="65" customFormat="1" x14ac:dyDescent="0.35">
      <c r="A152" s="60"/>
      <c r="B152" s="60"/>
      <c r="C152" s="62" t="s">
        <v>153</v>
      </c>
      <c r="D152" s="64">
        <v>0</v>
      </c>
      <c r="E152" s="64">
        <v>-1253454</v>
      </c>
      <c r="F152" s="64">
        <v>0</v>
      </c>
      <c r="G152" s="63">
        <f t="shared" si="63"/>
        <v>1253454</v>
      </c>
      <c r="H152" s="68"/>
      <c r="I152" s="68"/>
    </row>
    <row r="153" spans="1:9" x14ac:dyDescent="0.35">
      <c r="A153" s="60"/>
      <c r="B153" s="60"/>
      <c r="C153" s="62" t="s">
        <v>107</v>
      </c>
      <c r="D153" s="63">
        <v>-600000</v>
      </c>
      <c r="E153" s="63">
        <v>0</v>
      </c>
      <c r="F153" s="63">
        <v>0</v>
      </c>
      <c r="G153" s="63">
        <f t="shared" si="63"/>
        <v>0</v>
      </c>
    </row>
    <row r="154" spans="1:9" ht="14.25" customHeight="1" x14ac:dyDescent="0.35">
      <c r="A154" s="60"/>
      <c r="B154" s="60" t="s">
        <v>130</v>
      </c>
      <c r="C154" s="60"/>
      <c r="D154" s="64">
        <f>SUM(D156:D159)</f>
        <v>-3786218</v>
      </c>
      <c r="E154" s="64">
        <f>SUM(E155:E159)</f>
        <v>-5214357</v>
      </c>
      <c r="F154" s="64">
        <f>SUM(F156:F159)</f>
        <v>-4042560</v>
      </c>
      <c r="G154" s="64">
        <f>F154-E154</f>
        <v>1171797</v>
      </c>
    </row>
    <row r="155" spans="1:9" ht="14.25" customHeight="1" x14ac:dyDescent="0.35">
      <c r="A155" s="60"/>
      <c r="B155" s="60"/>
      <c r="C155" s="60" t="s">
        <v>153</v>
      </c>
      <c r="D155" s="64">
        <v>0</v>
      </c>
      <c r="E155" s="64">
        <f>E165+E169</f>
        <v>-2227195</v>
      </c>
      <c r="F155" s="64">
        <v>0</v>
      </c>
      <c r="G155" s="63">
        <f t="shared" ref="G155:G159" si="64">F155-E155</f>
        <v>2227195</v>
      </c>
    </row>
    <row r="156" spans="1:9" x14ac:dyDescent="0.35">
      <c r="A156" s="62"/>
      <c r="B156" s="62"/>
      <c r="C156" s="62" t="s">
        <v>62</v>
      </c>
      <c r="D156" s="63">
        <f>D161+D166+D170</f>
        <v>-2047369</v>
      </c>
      <c r="E156" s="63">
        <f t="shared" ref="E156:F156" si="65">E161+E166+E170</f>
        <v>-1396493</v>
      </c>
      <c r="F156" s="63">
        <f t="shared" si="65"/>
        <v>-2443555</v>
      </c>
      <c r="G156" s="63">
        <f t="shared" si="64"/>
        <v>-1047062</v>
      </c>
    </row>
    <row r="157" spans="1:9" x14ac:dyDescent="0.35">
      <c r="A157" s="62"/>
      <c r="B157" s="62"/>
      <c r="C157" s="62" t="s">
        <v>63</v>
      </c>
      <c r="D157" s="63">
        <f>D162+D167+D171</f>
        <v>-238849</v>
      </c>
      <c r="E157" s="63">
        <f t="shared" ref="E157:F157" si="66">E162+E167+E171</f>
        <v>-90289</v>
      </c>
      <c r="F157" s="63">
        <f t="shared" si="66"/>
        <v>-213822</v>
      </c>
      <c r="G157" s="63">
        <f t="shared" si="64"/>
        <v>-123533</v>
      </c>
    </row>
    <row r="158" spans="1:9" x14ac:dyDescent="0.35">
      <c r="A158" s="62"/>
      <c r="B158" s="62"/>
      <c r="C158" s="62" t="s">
        <v>107</v>
      </c>
      <c r="D158" s="63">
        <f>D163</f>
        <v>0</v>
      </c>
      <c r="E158" s="63">
        <f t="shared" ref="E158:F158" si="67">E163</f>
        <v>-380</v>
      </c>
      <c r="F158" s="63">
        <f t="shared" si="67"/>
        <v>-380</v>
      </c>
      <c r="G158" s="63">
        <f t="shared" si="64"/>
        <v>0</v>
      </c>
    </row>
    <row r="159" spans="1:9" x14ac:dyDescent="0.35">
      <c r="A159" s="62"/>
      <c r="B159" s="62"/>
      <c r="C159" s="62" t="s">
        <v>108</v>
      </c>
      <c r="D159" s="63">
        <f>D173</f>
        <v>-1500000</v>
      </c>
      <c r="E159" s="63">
        <f t="shared" ref="E159:F159" si="68">E173</f>
        <v>-1500000</v>
      </c>
      <c r="F159" s="63">
        <f t="shared" si="68"/>
        <v>-1384803</v>
      </c>
      <c r="G159" s="63">
        <f t="shared" si="64"/>
        <v>115197</v>
      </c>
    </row>
    <row r="160" spans="1:9" x14ac:dyDescent="0.35">
      <c r="A160" s="60"/>
      <c r="B160" s="60"/>
      <c r="C160" s="60" t="s">
        <v>111</v>
      </c>
      <c r="D160" s="64">
        <f>SUM(D161:D163)</f>
        <v>-1439228</v>
      </c>
      <c r="E160" s="64">
        <f t="shared" ref="E160:F160" si="69">SUM(E161:E163)</f>
        <v>-1487162</v>
      </c>
      <c r="F160" s="64">
        <f t="shared" si="69"/>
        <v>-1468281</v>
      </c>
      <c r="G160" s="64">
        <f>F160-E160</f>
        <v>18881</v>
      </c>
    </row>
    <row r="161" spans="1:9" x14ac:dyDescent="0.35">
      <c r="A161" s="62"/>
      <c r="B161" s="62"/>
      <c r="C161" s="62" t="s">
        <v>62</v>
      </c>
      <c r="D161" s="63">
        <v>-1371869</v>
      </c>
      <c r="E161" s="63">
        <v>-1396493</v>
      </c>
      <c r="F161" s="63">
        <v>-1377830</v>
      </c>
      <c r="G161" s="63">
        <f t="shared" ref="G161:G171" si="70">F161-E161</f>
        <v>18663</v>
      </c>
    </row>
    <row r="162" spans="1:9" x14ac:dyDescent="0.35">
      <c r="A162" s="60"/>
      <c r="B162" s="60"/>
      <c r="C162" s="62" t="s">
        <v>63</v>
      </c>
      <c r="D162" s="63">
        <v>-67359</v>
      </c>
      <c r="E162" s="63">
        <v>-90289</v>
      </c>
      <c r="F162" s="63">
        <v>-90071</v>
      </c>
      <c r="G162" s="63">
        <f t="shared" si="70"/>
        <v>218</v>
      </c>
    </row>
    <row r="163" spans="1:9" x14ac:dyDescent="0.35">
      <c r="A163" s="60"/>
      <c r="B163" s="60"/>
      <c r="C163" s="62" t="s">
        <v>107</v>
      </c>
      <c r="D163" s="63">
        <v>0</v>
      </c>
      <c r="E163" s="63">
        <v>-380</v>
      </c>
      <c r="F163" s="63">
        <v>-380</v>
      </c>
      <c r="G163" s="63">
        <f t="shared" si="70"/>
        <v>0</v>
      </c>
    </row>
    <row r="164" spans="1:9" x14ac:dyDescent="0.35">
      <c r="A164" s="60"/>
      <c r="B164" s="60"/>
      <c r="C164" s="60" t="s">
        <v>113</v>
      </c>
      <c r="D164" s="64">
        <f>SUM(D166:D167)</f>
        <v>-845110</v>
      </c>
      <c r="E164" s="64">
        <f>SUM(E165:E167)</f>
        <v>-2219927</v>
      </c>
      <c r="F164" s="64">
        <f>SUM(F166:F167)</f>
        <v>-1187506</v>
      </c>
      <c r="G164" s="64">
        <f>F164-E164</f>
        <v>1032421</v>
      </c>
    </row>
    <row r="165" spans="1:9" x14ac:dyDescent="0.35">
      <c r="A165" s="62"/>
      <c r="B165" s="62"/>
      <c r="C165" s="62" t="s">
        <v>153</v>
      </c>
      <c r="D165" s="63">
        <v>0</v>
      </c>
      <c r="E165" s="63">
        <v>-2219927</v>
      </c>
      <c r="F165" s="63">
        <v>0</v>
      </c>
      <c r="G165" s="63">
        <f t="shared" ref="G165:G167" si="71">F165-E165</f>
        <v>2219927</v>
      </c>
    </row>
    <row r="166" spans="1:9" x14ac:dyDescent="0.35">
      <c r="A166" s="62"/>
      <c r="B166" s="62"/>
      <c r="C166" s="62" t="s">
        <v>62</v>
      </c>
      <c r="D166" s="63">
        <v>-675500</v>
      </c>
      <c r="E166" s="63">
        <v>0</v>
      </c>
      <c r="F166" s="63">
        <v>-1064433</v>
      </c>
      <c r="G166" s="63">
        <f t="shared" si="71"/>
        <v>-1064433</v>
      </c>
    </row>
    <row r="167" spans="1:9" x14ac:dyDescent="0.35">
      <c r="A167" s="60"/>
      <c r="B167" s="60"/>
      <c r="C167" s="62" t="s">
        <v>63</v>
      </c>
      <c r="D167" s="63">
        <v>-169610</v>
      </c>
      <c r="E167" s="63">
        <v>0</v>
      </c>
      <c r="F167" s="63">
        <v>-123073</v>
      </c>
      <c r="G167" s="63">
        <f t="shared" si="71"/>
        <v>-123073</v>
      </c>
    </row>
    <row r="168" spans="1:9" s="65" customFormat="1" x14ac:dyDescent="0.35">
      <c r="A168" s="60"/>
      <c r="B168" s="60"/>
      <c r="C168" s="60" t="s">
        <v>114</v>
      </c>
      <c r="D168" s="64">
        <f>SUM(D170:D171)</f>
        <v>-1880</v>
      </c>
      <c r="E168" s="64">
        <f>SUM(E169:E171)</f>
        <v>-7268</v>
      </c>
      <c r="F168" s="64">
        <f t="shared" ref="F168" si="72">SUM(F170:F171)</f>
        <v>-1970</v>
      </c>
      <c r="G168" s="64">
        <f t="shared" si="70"/>
        <v>5298</v>
      </c>
      <c r="H168" s="68"/>
      <c r="I168" s="68"/>
    </row>
    <row r="169" spans="1:9" x14ac:dyDescent="0.35">
      <c r="A169" s="62"/>
      <c r="B169" s="62"/>
      <c r="C169" s="62" t="s">
        <v>153</v>
      </c>
      <c r="D169" s="63">
        <v>0</v>
      </c>
      <c r="E169" s="63">
        <v>-7268</v>
      </c>
      <c r="F169" s="63">
        <v>0</v>
      </c>
      <c r="G169" s="63">
        <f t="shared" si="70"/>
        <v>7268</v>
      </c>
    </row>
    <row r="170" spans="1:9" s="65" customFormat="1" x14ac:dyDescent="0.35">
      <c r="A170" s="60"/>
      <c r="B170" s="60"/>
      <c r="C170" s="62" t="s">
        <v>62</v>
      </c>
      <c r="D170" s="63">
        <v>0</v>
      </c>
      <c r="E170" s="63">
        <v>0</v>
      </c>
      <c r="F170" s="63">
        <v>-1292</v>
      </c>
      <c r="G170" s="63">
        <f t="shared" si="70"/>
        <v>-1292</v>
      </c>
      <c r="H170" s="68"/>
      <c r="I170" s="68"/>
    </row>
    <row r="171" spans="1:9" x14ac:dyDescent="0.35">
      <c r="A171" s="60"/>
      <c r="B171" s="60"/>
      <c r="C171" s="62" t="s">
        <v>63</v>
      </c>
      <c r="D171" s="63">
        <v>-1880</v>
      </c>
      <c r="E171" s="63">
        <v>0</v>
      </c>
      <c r="F171" s="63">
        <v>-678</v>
      </c>
      <c r="G171" s="63">
        <f t="shared" si="70"/>
        <v>-678</v>
      </c>
    </row>
    <row r="172" spans="1:9" s="65" customFormat="1" x14ac:dyDescent="0.35">
      <c r="A172" s="60"/>
      <c r="B172" s="60"/>
      <c r="C172" s="60" t="s">
        <v>129</v>
      </c>
      <c r="D172" s="64">
        <f>SUM(D173)</f>
        <v>-1500000</v>
      </c>
      <c r="E172" s="64">
        <f t="shared" ref="E172:F172" si="73">SUM(E173)</f>
        <v>-1500000</v>
      </c>
      <c r="F172" s="64">
        <f t="shared" si="73"/>
        <v>-1384803</v>
      </c>
      <c r="G172" s="64">
        <f t="shared" ref="G172:G173" si="74">F172-E172</f>
        <v>115197</v>
      </c>
      <c r="H172" s="68"/>
      <c r="I172" s="68"/>
    </row>
    <row r="173" spans="1:9" x14ac:dyDescent="0.35">
      <c r="A173" s="60"/>
      <c r="B173" s="60"/>
      <c r="C173" s="62" t="s">
        <v>64</v>
      </c>
      <c r="D173" s="63">
        <v>-1500000</v>
      </c>
      <c r="E173" s="63">
        <v>-1500000</v>
      </c>
      <c r="F173" s="63">
        <v>-1384803</v>
      </c>
      <c r="G173" s="63">
        <f t="shared" si="74"/>
        <v>115197</v>
      </c>
    </row>
    <row r="174" spans="1:9" ht="15.5" x14ac:dyDescent="0.35">
      <c r="A174" s="78" t="s">
        <v>131</v>
      </c>
      <c r="B174" s="60"/>
      <c r="C174" s="60"/>
      <c r="D174" s="64">
        <f>SUM(D175:D179)</f>
        <v>-36331867</v>
      </c>
      <c r="E174" s="64">
        <f t="shared" ref="E174:F174" si="75">SUM(E175:E179)</f>
        <v>-88914924</v>
      </c>
      <c r="F174" s="64">
        <f t="shared" si="75"/>
        <v>-36944939</v>
      </c>
      <c r="G174" s="64">
        <f t="shared" ref="G174:G179" si="76">F174-E174</f>
        <v>51969985</v>
      </c>
      <c r="I174" s="80"/>
    </row>
    <row r="175" spans="1:9" x14ac:dyDescent="0.35">
      <c r="A175" s="62"/>
      <c r="B175" s="62" t="s">
        <v>111</v>
      </c>
      <c r="C175" s="62"/>
      <c r="D175" s="63">
        <f>D187+D207+D226+D249</f>
        <v>-24453665</v>
      </c>
      <c r="E175" s="63">
        <f>E187+E207+E226+E249</f>
        <v>-24496128</v>
      </c>
      <c r="F175" s="63">
        <f>F187+F207+F226+F249</f>
        <v>-23592401</v>
      </c>
      <c r="G175" s="63">
        <f t="shared" si="76"/>
        <v>903727</v>
      </c>
    </row>
    <row r="176" spans="1:9" x14ac:dyDescent="0.35">
      <c r="A176" s="62"/>
      <c r="B176" s="62" t="s">
        <v>112</v>
      </c>
      <c r="C176" s="62"/>
      <c r="D176" s="63">
        <f>D211+D192+D231</f>
        <v>-9301365</v>
      </c>
      <c r="E176" s="63">
        <f t="shared" ref="E176:F176" si="77">E211+E192+E231</f>
        <v>-9301365</v>
      </c>
      <c r="F176" s="63">
        <f t="shared" si="77"/>
        <v>-9770571</v>
      </c>
      <c r="G176" s="63">
        <f t="shared" si="76"/>
        <v>-469206</v>
      </c>
    </row>
    <row r="177" spans="1:7" x14ac:dyDescent="0.35">
      <c r="A177" s="62"/>
      <c r="B177" s="62" t="s">
        <v>113</v>
      </c>
      <c r="C177" s="62"/>
      <c r="D177" s="63">
        <f>D195+D215+D233+D254</f>
        <v>-1560570</v>
      </c>
      <c r="E177" s="63">
        <f>E195+E215+E233+E254</f>
        <v>-51478121</v>
      </c>
      <c r="F177" s="63">
        <f>F195+F215+F233+F254</f>
        <v>-1481159</v>
      </c>
      <c r="G177" s="63">
        <f t="shared" si="76"/>
        <v>49996962</v>
      </c>
    </row>
    <row r="178" spans="1:7" x14ac:dyDescent="0.35">
      <c r="A178" s="62"/>
      <c r="B178" s="62" t="s">
        <v>114</v>
      </c>
      <c r="C178" s="62"/>
      <c r="D178" s="63">
        <f>D238+D257</f>
        <v>-395933</v>
      </c>
      <c r="E178" s="63">
        <f>E238+E257</f>
        <v>-3018976</v>
      </c>
      <c r="F178" s="63">
        <f>F238+F257</f>
        <v>-1062820</v>
      </c>
      <c r="G178" s="63">
        <f t="shared" si="76"/>
        <v>1956156</v>
      </c>
    </row>
    <row r="179" spans="1:7" x14ac:dyDescent="0.35">
      <c r="A179" s="62"/>
      <c r="B179" s="62" t="s">
        <v>115</v>
      </c>
      <c r="C179" s="62"/>
      <c r="D179" s="63">
        <f>D219+D243+D261+D200</f>
        <v>-620334</v>
      </c>
      <c r="E179" s="63">
        <f>E219+E243+E261+E200</f>
        <v>-620334</v>
      </c>
      <c r="F179" s="63">
        <f>F219+F243+F261+F200</f>
        <v>-1037988</v>
      </c>
      <c r="G179" s="63">
        <f t="shared" si="76"/>
        <v>-417654</v>
      </c>
    </row>
    <row r="180" spans="1:7" x14ac:dyDescent="0.35">
      <c r="A180" s="60"/>
      <c r="B180" s="60" t="s">
        <v>123</v>
      </c>
      <c r="C180" s="60"/>
      <c r="D180" s="64">
        <f>SUM(D182:D186)</f>
        <v>-4642981</v>
      </c>
      <c r="E180" s="64">
        <f>SUM(E181:E186)</f>
        <v>-53642694</v>
      </c>
      <c r="F180" s="64">
        <f t="shared" ref="F180" si="78">SUM(F182:F186)</f>
        <v>-3663816</v>
      </c>
      <c r="G180" s="64">
        <f>F180-E180</f>
        <v>49978878</v>
      </c>
    </row>
    <row r="181" spans="1:7" x14ac:dyDescent="0.35">
      <c r="A181" s="60"/>
      <c r="B181" s="60"/>
      <c r="C181" s="60" t="s">
        <v>153</v>
      </c>
      <c r="D181" s="64">
        <v>0</v>
      </c>
      <c r="E181" s="64">
        <f>E196</f>
        <v>-51004696</v>
      </c>
      <c r="F181" s="64">
        <v>0</v>
      </c>
      <c r="G181" s="63">
        <f t="shared" ref="G181:G186" si="79">F181-E181</f>
        <v>51004696</v>
      </c>
    </row>
    <row r="182" spans="1:7" x14ac:dyDescent="0.35">
      <c r="A182" s="62"/>
      <c r="B182" s="62"/>
      <c r="C182" s="62" t="s">
        <v>62</v>
      </c>
      <c r="D182" s="63">
        <f>D188+D197+D193</f>
        <v>-2266321</v>
      </c>
      <c r="E182" s="63">
        <f t="shared" ref="E182:F182" si="80">E188+E197+E193</f>
        <v>-1911302</v>
      </c>
      <c r="F182" s="63">
        <f t="shared" si="80"/>
        <v>-2206063</v>
      </c>
      <c r="G182" s="63">
        <f t="shared" si="79"/>
        <v>-294761</v>
      </c>
    </row>
    <row r="183" spans="1:7" x14ac:dyDescent="0.35">
      <c r="A183" s="62"/>
      <c r="B183" s="62"/>
      <c r="C183" s="62" t="s">
        <v>63</v>
      </c>
      <c r="D183" s="63">
        <f>D189+D198+D194</f>
        <v>-2191605</v>
      </c>
      <c r="E183" s="63">
        <f t="shared" ref="E183:F183" si="81">E189+E198+E194</f>
        <v>-512442</v>
      </c>
      <c r="F183" s="63">
        <f t="shared" si="81"/>
        <v>-995501</v>
      </c>
      <c r="G183" s="63">
        <f t="shared" si="79"/>
        <v>-483059</v>
      </c>
    </row>
    <row r="184" spans="1:7" x14ac:dyDescent="0.35">
      <c r="A184" s="62"/>
      <c r="B184" s="62"/>
      <c r="C184" s="62" t="s">
        <v>106</v>
      </c>
      <c r="D184" s="63">
        <f>D190</f>
        <v>-21000</v>
      </c>
      <c r="E184" s="63">
        <f t="shared" ref="E184:F184" si="82">E190</f>
        <v>-21000</v>
      </c>
      <c r="F184" s="63">
        <f t="shared" si="82"/>
        <v>0</v>
      </c>
      <c r="G184" s="63">
        <f t="shared" si="79"/>
        <v>21000</v>
      </c>
    </row>
    <row r="185" spans="1:7" x14ac:dyDescent="0.35">
      <c r="A185" s="62"/>
      <c r="B185" s="62"/>
      <c r="C185" s="62" t="s">
        <v>107</v>
      </c>
      <c r="D185" s="63">
        <f>D191+D199</f>
        <v>-164055</v>
      </c>
      <c r="E185" s="63">
        <f t="shared" ref="E185:F185" si="83">E191+E199</f>
        <v>-193254</v>
      </c>
      <c r="F185" s="63">
        <f t="shared" si="83"/>
        <v>-461284</v>
      </c>
      <c r="G185" s="63">
        <f t="shared" si="79"/>
        <v>-268030</v>
      </c>
    </row>
    <row r="186" spans="1:7" x14ac:dyDescent="0.35">
      <c r="A186" s="62"/>
      <c r="B186" s="62"/>
      <c r="C186" s="62" t="s">
        <v>108</v>
      </c>
      <c r="D186" s="63">
        <f>D200</f>
        <v>0</v>
      </c>
      <c r="E186" s="63">
        <f t="shared" ref="E186:F186" si="84">E200</f>
        <v>0</v>
      </c>
      <c r="F186" s="63">
        <f t="shared" si="84"/>
        <v>-968</v>
      </c>
      <c r="G186" s="63">
        <f t="shared" si="79"/>
        <v>-968</v>
      </c>
    </row>
    <row r="187" spans="1:7" x14ac:dyDescent="0.35">
      <c r="A187" s="60"/>
      <c r="B187" s="60"/>
      <c r="C187" s="60" t="s">
        <v>111</v>
      </c>
      <c r="D187" s="64">
        <f>SUM(D188:D191)</f>
        <v>-3082411</v>
      </c>
      <c r="E187" s="64">
        <f>SUM(E188:E191)</f>
        <v>-2349853</v>
      </c>
      <c r="F187" s="64">
        <f>SUM(F188:F191)</f>
        <v>-2183055</v>
      </c>
      <c r="G187" s="64">
        <f>F187-E187</f>
        <v>166798</v>
      </c>
    </row>
    <row r="188" spans="1:7" x14ac:dyDescent="0.35">
      <c r="A188" s="62"/>
      <c r="B188" s="62"/>
      <c r="C188" s="62" t="s">
        <v>62</v>
      </c>
      <c r="D188" s="63">
        <v>-1813108</v>
      </c>
      <c r="E188" s="63">
        <v>-1623157</v>
      </c>
      <c r="F188" s="63">
        <v>-1580969</v>
      </c>
      <c r="G188" s="63">
        <f t="shared" ref="G188:G194" si="85">F188-E188</f>
        <v>42188</v>
      </c>
    </row>
    <row r="189" spans="1:7" x14ac:dyDescent="0.35">
      <c r="A189" s="62"/>
      <c r="B189" s="62"/>
      <c r="C189" s="62" t="s">
        <v>63</v>
      </c>
      <c r="D189" s="63">
        <v>-1084248</v>
      </c>
      <c r="E189" s="63">
        <v>-512442</v>
      </c>
      <c r="F189" s="63">
        <v>-410030</v>
      </c>
      <c r="G189" s="63">
        <f t="shared" si="85"/>
        <v>102412</v>
      </c>
    </row>
    <row r="190" spans="1:7" x14ac:dyDescent="0.35">
      <c r="A190" s="62"/>
      <c r="B190" s="62"/>
      <c r="C190" s="62" t="s">
        <v>106</v>
      </c>
      <c r="D190" s="63">
        <v>-21000</v>
      </c>
      <c r="E190" s="63">
        <v>-21000</v>
      </c>
      <c r="F190" s="63">
        <v>0</v>
      </c>
      <c r="G190" s="63">
        <f t="shared" si="85"/>
        <v>21000</v>
      </c>
    </row>
    <row r="191" spans="1:7" x14ac:dyDescent="0.35">
      <c r="A191" s="62"/>
      <c r="B191" s="62"/>
      <c r="C191" s="62" t="s">
        <v>107</v>
      </c>
      <c r="D191" s="63">
        <v>-164055</v>
      </c>
      <c r="E191" s="63">
        <v>-193254</v>
      </c>
      <c r="F191" s="63">
        <v>-192056</v>
      </c>
      <c r="G191" s="63">
        <f t="shared" si="85"/>
        <v>1198</v>
      </c>
    </row>
    <row r="192" spans="1:7" x14ac:dyDescent="0.35">
      <c r="A192" s="62"/>
      <c r="B192" s="62"/>
      <c r="C192" s="60" t="s">
        <v>112</v>
      </c>
      <c r="D192" s="64">
        <f>SUM(D193:D194)</f>
        <v>0</v>
      </c>
      <c r="E192" s="64">
        <f t="shared" ref="E192:F192" si="86">SUM(E193:E194)</f>
        <v>-288145</v>
      </c>
      <c r="F192" s="64">
        <f t="shared" si="86"/>
        <v>-284102</v>
      </c>
      <c r="G192" s="64">
        <f t="shared" si="85"/>
        <v>4043</v>
      </c>
    </row>
    <row r="193" spans="1:9" x14ac:dyDescent="0.35">
      <c r="A193" s="62"/>
      <c r="B193" s="62"/>
      <c r="C193" s="62" t="s">
        <v>62</v>
      </c>
      <c r="D193" s="63">
        <v>0</v>
      </c>
      <c r="E193" s="63">
        <v>-288145</v>
      </c>
      <c r="F193" s="63">
        <f>-2800205+2516074</f>
        <v>-284131</v>
      </c>
      <c r="G193" s="63">
        <f t="shared" si="85"/>
        <v>4014</v>
      </c>
      <c r="I193" s="80"/>
    </row>
    <row r="194" spans="1:9" x14ac:dyDescent="0.35">
      <c r="A194" s="62"/>
      <c r="B194" s="62"/>
      <c r="C194" s="62" t="s">
        <v>63</v>
      </c>
      <c r="D194" s="63">
        <v>0</v>
      </c>
      <c r="E194" s="63">
        <v>0</v>
      </c>
      <c r="F194" s="63">
        <v>29</v>
      </c>
      <c r="G194" s="63">
        <f t="shared" si="85"/>
        <v>29</v>
      </c>
    </row>
    <row r="195" spans="1:9" x14ac:dyDescent="0.35">
      <c r="A195" s="60"/>
      <c r="B195" s="60"/>
      <c r="C195" s="60" t="s">
        <v>113</v>
      </c>
      <c r="D195" s="64">
        <f>SUM(D197:D199)</f>
        <v>-1560570</v>
      </c>
      <c r="E195" s="64">
        <f>SUM(E196:E199)</f>
        <v>-51004696</v>
      </c>
      <c r="F195" s="64">
        <f t="shared" ref="F195" si="87">SUM(F197:F199)</f>
        <v>-1195691</v>
      </c>
      <c r="G195" s="64">
        <f>F195-E195</f>
        <v>49809005</v>
      </c>
    </row>
    <row r="196" spans="1:9" x14ac:dyDescent="0.35">
      <c r="A196" s="62"/>
      <c r="B196" s="62"/>
      <c r="C196" s="62" t="s">
        <v>153</v>
      </c>
      <c r="D196" s="63">
        <v>0</v>
      </c>
      <c r="E196" s="63">
        <v>-51004696</v>
      </c>
      <c r="F196" s="63">
        <v>0</v>
      </c>
      <c r="G196" s="63">
        <f t="shared" ref="G196:G200" si="88">F196-E196</f>
        <v>51004696</v>
      </c>
    </row>
    <row r="197" spans="1:9" x14ac:dyDescent="0.35">
      <c r="A197" s="62"/>
      <c r="B197" s="62"/>
      <c r="C197" s="62" t="s">
        <v>62</v>
      </c>
      <c r="D197" s="63">
        <v>-453213</v>
      </c>
      <c r="E197" s="63">
        <v>0</v>
      </c>
      <c r="F197" s="63">
        <v>-340963</v>
      </c>
      <c r="G197" s="63">
        <f t="shared" si="88"/>
        <v>-340963</v>
      </c>
    </row>
    <row r="198" spans="1:9" x14ac:dyDescent="0.35">
      <c r="A198" s="60"/>
      <c r="B198" s="60"/>
      <c r="C198" s="62" t="s">
        <v>63</v>
      </c>
      <c r="D198" s="63">
        <v>-1107357</v>
      </c>
      <c r="E198" s="63">
        <v>0</v>
      </c>
      <c r="F198" s="63">
        <v>-585500</v>
      </c>
      <c r="G198" s="63">
        <f t="shared" si="88"/>
        <v>-585500</v>
      </c>
    </row>
    <row r="199" spans="1:9" x14ac:dyDescent="0.35">
      <c r="A199" s="60"/>
      <c r="B199" s="60"/>
      <c r="C199" s="62" t="s">
        <v>107</v>
      </c>
      <c r="D199" s="63">
        <v>0</v>
      </c>
      <c r="E199" s="63">
        <v>0</v>
      </c>
      <c r="F199" s="63">
        <v>-269228</v>
      </c>
      <c r="G199" s="63">
        <f t="shared" si="88"/>
        <v>-269228</v>
      </c>
    </row>
    <row r="200" spans="1:9" x14ac:dyDescent="0.35">
      <c r="A200" s="60"/>
      <c r="B200" s="60"/>
      <c r="C200" s="60" t="s">
        <v>116</v>
      </c>
      <c r="D200" s="64">
        <v>0</v>
      </c>
      <c r="E200" s="64">
        <v>0</v>
      </c>
      <c r="F200" s="64">
        <v>-968</v>
      </c>
      <c r="G200" s="64">
        <f t="shared" si="88"/>
        <v>-968</v>
      </c>
    </row>
    <row r="201" spans="1:9" ht="14.25" customHeight="1" x14ac:dyDescent="0.35">
      <c r="A201" s="60"/>
      <c r="B201" s="60" t="s">
        <v>132</v>
      </c>
      <c r="C201" s="60"/>
      <c r="D201" s="64">
        <f>SUM(D203:D206)</f>
        <v>-20659891</v>
      </c>
      <c r="E201" s="64">
        <f>SUM(E202:E206)</f>
        <v>-21055311</v>
      </c>
      <c r="F201" s="64">
        <f t="shared" ref="F201" si="89">SUM(F203:F206)</f>
        <v>-21028713</v>
      </c>
      <c r="G201" s="64">
        <f>F201-E201</f>
        <v>26598</v>
      </c>
    </row>
    <row r="202" spans="1:9" ht="14.25" customHeight="1" x14ac:dyDescent="0.35">
      <c r="A202" s="62"/>
      <c r="B202" s="62"/>
      <c r="C202" s="62" t="s">
        <v>153</v>
      </c>
      <c r="D202" s="63">
        <v>0</v>
      </c>
      <c r="E202" s="63">
        <f>E216</f>
        <v>-244370</v>
      </c>
      <c r="F202" s="63">
        <v>0</v>
      </c>
      <c r="G202" s="63">
        <f t="shared" ref="G202:G206" si="90">F202-E202</f>
        <v>244370</v>
      </c>
    </row>
    <row r="203" spans="1:9" x14ac:dyDescent="0.35">
      <c r="A203" s="62"/>
      <c r="B203" s="62"/>
      <c r="C203" s="62" t="s">
        <v>62</v>
      </c>
      <c r="D203" s="63">
        <f>D208+D212+D217</f>
        <v>-18187886</v>
      </c>
      <c r="E203" s="63">
        <f t="shared" ref="E203:F203" si="91">E208+E212+E217</f>
        <v>-18101987</v>
      </c>
      <c r="F203" s="63">
        <f t="shared" si="91"/>
        <v>-18388502</v>
      </c>
      <c r="G203" s="63">
        <f t="shared" si="90"/>
        <v>-286515</v>
      </c>
    </row>
    <row r="204" spans="1:9" x14ac:dyDescent="0.35">
      <c r="A204" s="62"/>
      <c r="B204" s="62"/>
      <c r="C204" s="62" t="s">
        <v>63</v>
      </c>
      <c r="D204" s="63">
        <f>D209+D213+D218</f>
        <v>-2445780</v>
      </c>
      <c r="E204" s="63">
        <f t="shared" ref="E204:F204" si="92">E209+E213+E218</f>
        <v>-2683729</v>
      </c>
      <c r="F204" s="63">
        <f t="shared" si="92"/>
        <v>-2627159</v>
      </c>
      <c r="G204" s="63">
        <f t="shared" si="90"/>
        <v>56570</v>
      </c>
    </row>
    <row r="205" spans="1:9" x14ac:dyDescent="0.35">
      <c r="A205" s="62"/>
      <c r="B205" s="62"/>
      <c r="C205" s="62" t="s">
        <v>107</v>
      </c>
      <c r="D205" s="63">
        <f>D210</f>
        <v>-7725</v>
      </c>
      <c r="E205" s="63">
        <f t="shared" ref="E205:F205" si="93">E210</f>
        <v>-6725</v>
      </c>
      <c r="F205" s="63">
        <f t="shared" si="93"/>
        <v>-6725</v>
      </c>
      <c r="G205" s="63">
        <f t="shared" si="90"/>
        <v>0</v>
      </c>
    </row>
    <row r="206" spans="1:9" x14ac:dyDescent="0.35">
      <c r="A206" s="62"/>
      <c r="B206" s="62"/>
      <c r="C206" s="62" t="s">
        <v>108</v>
      </c>
      <c r="D206" s="63">
        <f>D219+D214</f>
        <v>-18500</v>
      </c>
      <c r="E206" s="63">
        <f t="shared" ref="E206:F206" si="94">E219+E214</f>
        <v>-18500</v>
      </c>
      <c r="F206" s="63">
        <f t="shared" si="94"/>
        <v>-6327</v>
      </c>
      <c r="G206" s="63">
        <f t="shared" si="90"/>
        <v>12173</v>
      </c>
    </row>
    <row r="207" spans="1:9" x14ac:dyDescent="0.35">
      <c r="A207" s="60"/>
      <c r="B207" s="60"/>
      <c r="C207" s="60" t="s">
        <v>111</v>
      </c>
      <c r="D207" s="64">
        <f>SUM(D208:D210)</f>
        <v>-11340026</v>
      </c>
      <c r="E207" s="64">
        <f t="shared" ref="E207" si="95">SUM(E208:E210)</f>
        <v>-11779221</v>
      </c>
      <c r="F207" s="64">
        <f t="shared" ref="F207" si="96">SUM(F208:F210)</f>
        <v>-11358787</v>
      </c>
      <c r="G207" s="64">
        <f>F207-E207</f>
        <v>420434</v>
      </c>
    </row>
    <row r="208" spans="1:9" x14ac:dyDescent="0.35">
      <c r="A208" s="62"/>
      <c r="B208" s="62"/>
      <c r="C208" s="62" t="s">
        <v>62</v>
      </c>
      <c r="D208" s="63">
        <v>-8886521</v>
      </c>
      <c r="E208" s="63">
        <v>-9088767</v>
      </c>
      <c r="F208" s="63">
        <v>-8780491</v>
      </c>
      <c r="G208" s="63">
        <f t="shared" ref="G208:G220" si="97">F208-E208</f>
        <v>308276</v>
      </c>
    </row>
    <row r="209" spans="1:9" x14ac:dyDescent="0.35">
      <c r="A209" s="60"/>
      <c r="B209" s="60"/>
      <c r="C209" s="62" t="s">
        <v>63</v>
      </c>
      <c r="D209" s="63">
        <v>-2445780</v>
      </c>
      <c r="E209" s="63">
        <v>-2683729</v>
      </c>
      <c r="F209" s="63">
        <v>-2571571</v>
      </c>
      <c r="G209" s="63">
        <f t="shared" si="97"/>
        <v>112158</v>
      </c>
    </row>
    <row r="210" spans="1:9" x14ac:dyDescent="0.35">
      <c r="A210" s="60"/>
      <c r="B210" s="60"/>
      <c r="C210" s="62" t="s">
        <v>107</v>
      </c>
      <c r="D210" s="63">
        <v>-7725</v>
      </c>
      <c r="E210" s="63">
        <v>-6725</v>
      </c>
      <c r="F210" s="63">
        <v>-6725</v>
      </c>
      <c r="G210" s="63">
        <f t="shared" si="97"/>
        <v>0</v>
      </c>
    </row>
    <row r="211" spans="1:9" s="65" customFormat="1" x14ac:dyDescent="0.35">
      <c r="A211" s="60"/>
      <c r="B211" s="60"/>
      <c r="C211" s="60" t="s">
        <v>112</v>
      </c>
      <c r="D211" s="64">
        <f>SUM(D212:D214)</f>
        <v>-9301365</v>
      </c>
      <c r="E211" s="64">
        <f t="shared" ref="E211:F211" si="98">SUM(E212:E214)</f>
        <v>-9013220</v>
      </c>
      <c r="F211" s="64">
        <f t="shared" si="98"/>
        <v>-9486755</v>
      </c>
      <c r="G211" s="64">
        <f t="shared" si="97"/>
        <v>-473535</v>
      </c>
      <c r="H211" s="68"/>
      <c r="I211" s="68"/>
    </row>
    <row r="212" spans="1:9" x14ac:dyDescent="0.35">
      <c r="A212" s="60"/>
      <c r="B212" s="60"/>
      <c r="C212" s="62" t="s">
        <v>62</v>
      </c>
      <c r="D212" s="63">
        <v>-9301365</v>
      </c>
      <c r="E212" s="63">
        <v>-9013220</v>
      </c>
      <c r="F212" s="63">
        <v>-9472898</v>
      </c>
      <c r="G212" s="63">
        <f t="shared" si="97"/>
        <v>-459678</v>
      </c>
    </row>
    <row r="213" spans="1:9" x14ac:dyDescent="0.35">
      <c r="A213" s="60"/>
      <c r="B213" s="60"/>
      <c r="C213" s="62" t="s">
        <v>63</v>
      </c>
      <c r="D213" s="63">
        <v>0</v>
      </c>
      <c r="E213" s="63">
        <v>0</v>
      </c>
      <c r="F213" s="63">
        <v>-13779</v>
      </c>
      <c r="G213" s="63">
        <f t="shared" si="97"/>
        <v>-13779</v>
      </c>
    </row>
    <row r="214" spans="1:9" x14ac:dyDescent="0.35">
      <c r="A214" s="60"/>
      <c r="B214" s="60"/>
      <c r="C214" s="62" t="s">
        <v>64</v>
      </c>
      <c r="D214" s="63">
        <v>0</v>
      </c>
      <c r="E214" s="63">
        <v>0</v>
      </c>
      <c r="F214" s="63">
        <v>-78</v>
      </c>
      <c r="G214" s="63">
        <f t="shared" si="97"/>
        <v>-78</v>
      </c>
    </row>
    <row r="215" spans="1:9" x14ac:dyDescent="0.35">
      <c r="A215" s="60"/>
      <c r="B215" s="60"/>
      <c r="C215" s="60" t="s">
        <v>113</v>
      </c>
      <c r="D215" s="64">
        <f>SUM(D217:D218)</f>
        <v>0</v>
      </c>
      <c r="E215" s="64">
        <f>SUM(E216:E218)</f>
        <v>-244370</v>
      </c>
      <c r="F215" s="64">
        <f t="shared" ref="F215" si="99">SUM(F217:F218)</f>
        <v>-176922</v>
      </c>
      <c r="G215" s="64">
        <f t="shared" si="97"/>
        <v>67448</v>
      </c>
    </row>
    <row r="216" spans="1:9" x14ac:dyDescent="0.35">
      <c r="A216" s="62"/>
      <c r="B216" s="62"/>
      <c r="C216" s="62" t="s">
        <v>153</v>
      </c>
      <c r="D216" s="63">
        <v>0</v>
      </c>
      <c r="E216" s="63">
        <v>-244370</v>
      </c>
      <c r="F216" s="63">
        <v>0</v>
      </c>
      <c r="G216" s="63">
        <f t="shared" si="97"/>
        <v>244370</v>
      </c>
    </row>
    <row r="217" spans="1:9" x14ac:dyDescent="0.35">
      <c r="A217" s="60"/>
      <c r="B217" s="60"/>
      <c r="C217" s="62" t="s">
        <v>62</v>
      </c>
      <c r="D217" s="63">
        <v>0</v>
      </c>
      <c r="E217" s="63">
        <v>0</v>
      </c>
      <c r="F217" s="63">
        <v>-135113</v>
      </c>
      <c r="G217" s="63">
        <f t="shared" si="97"/>
        <v>-135113</v>
      </c>
    </row>
    <row r="218" spans="1:9" x14ac:dyDescent="0.35">
      <c r="A218" s="60"/>
      <c r="B218" s="60"/>
      <c r="C218" s="62" t="s">
        <v>63</v>
      </c>
      <c r="D218" s="63">
        <v>0</v>
      </c>
      <c r="E218" s="63">
        <v>0</v>
      </c>
      <c r="F218" s="63">
        <v>-41809</v>
      </c>
      <c r="G218" s="63">
        <f t="shared" si="97"/>
        <v>-41809</v>
      </c>
    </row>
    <row r="219" spans="1:9" s="65" customFormat="1" x14ac:dyDescent="0.35">
      <c r="A219" s="60"/>
      <c r="B219" s="60"/>
      <c r="C219" s="60" t="s">
        <v>116</v>
      </c>
      <c r="D219" s="64">
        <v>-18500</v>
      </c>
      <c r="E219" s="64">
        <v>-18500</v>
      </c>
      <c r="F219" s="64">
        <v>-6249</v>
      </c>
      <c r="G219" s="64">
        <f t="shared" si="97"/>
        <v>12251</v>
      </c>
      <c r="H219" s="68"/>
      <c r="I219" s="68"/>
    </row>
    <row r="220" spans="1:9" x14ac:dyDescent="0.35">
      <c r="A220" s="60"/>
      <c r="B220" s="60" t="s">
        <v>133</v>
      </c>
      <c r="C220" s="60"/>
      <c r="D220" s="64">
        <f>SUM(D222:D225)</f>
        <v>-9159902</v>
      </c>
      <c r="E220" s="64">
        <f>SUM(E221:E225)</f>
        <v>-11613676</v>
      </c>
      <c r="F220" s="64">
        <f t="shared" ref="F220" si="100">SUM(F222:F225)</f>
        <v>-10081314</v>
      </c>
      <c r="G220" s="64">
        <f t="shared" si="97"/>
        <v>1532362</v>
      </c>
    </row>
    <row r="221" spans="1:9" x14ac:dyDescent="0.35">
      <c r="A221" s="62"/>
      <c r="B221" s="62"/>
      <c r="C221" s="62" t="s">
        <v>153</v>
      </c>
      <c r="D221" s="63"/>
      <c r="E221" s="63">
        <f>E234+E239</f>
        <v>-2643594</v>
      </c>
      <c r="F221" s="63"/>
      <c r="G221" s="63"/>
    </row>
    <row r="222" spans="1:9" x14ac:dyDescent="0.35">
      <c r="A222" s="62"/>
      <c r="B222" s="62"/>
      <c r="C222" s="62" t="s">
        <v>62</v>
      </c>
      <c r="D222" s="63">
        <f>D227+D240+D235</f>
        <v>-5956655</v>
      </c>
      <c r="E222" s="63">
        <f t="shared" ref="E222:F222" si="101">E227+E240+E235</f>
        <v>-5836655</v>
      </c>
      <c r="F222" s="63">
        <f t="shared" si="101"/>
        <v>-6139352</v>
      </c>
      <c r="G222" s="63">
        <f t="shared" ref="G222:G243" si="102">F222-E222</f>
        <v>-302697</v>
      </c>
    </row>
    <row r="223" spans="1:9" x14ac:dyDescent="0.35">
      <c r="A223" s="62"/>
      <c r="B223" s="62"/>
      <c r="C223" s="62" t="s">
        <v>63</v>
      </c>
      <c r="D223" s="63">
        <f>D228+D241+D236</f>
        <v>-2941621</v>
      </c>
      <c r="E223" s="63">
        <f t="shared" ref="E223:F223" si="103">E228+E241+E236</f>
        <v>-2869067</v>
      </c>
      <c r="F223" s="63">
        <f t="shared" si="103"/>
        <v>-3223118</v>
      </c>
      <c r="G223" s="63">
        <f t="shared" si="102"/>
        <v>-354051</v>
      </c>
    </row>
    <row r="224" spans="1:9" x14ac:dyDescent="0.35">
      <c r="A224" s="62"/>
      <c r="B224" s="62"/>
      <c r="C224" s="62" t="s">
        <v>107</v>
      </c>
      <c r="D224" s="63">
        <f>D229+D237+D242</f>
        <v>-3804</v>
      </c>
      <c r="E224" s="63">
        <f t="shared" ref="E224:F224" si="104">E229+E237+E242</f>
        <v>-3804</v>
      </c>
      <c r="F224" s="63">
        <f t="shared" si="104"/>
        <v>-15525</v>
      </c>
      <c r="G224" s="63">
        <f t="shared" si="102"/>
        <v>-11721</v>
      </c>
    </row>
    <row r="225" spans="1:9" x14ac:dyDescent="0.35">
      <c r="A225" s="62"/>
      <c r="B225" s="62"/>
      <c r="C225" s="62" t="s">
        <v>108</v>
      </c>
      <c r="D225" s="63">
        <f>D243+D230+D232</f>
        <v>-257822</v>
      </c>
      <c r="E225" s="63">
        <f t="shared" ref="E225:F225" si="105">E243+E230+E232</f>
        <v>-260556</v>
      </c>
      <c r="F225" s="63">
        <f t="shared" si="105"/>
        <v>-703319</v>
      </c>
      <c r="G225" s="63">
        <f t="shared" si="102"/>
        <v>-442763</v>
      </c>
    </row>
    <row r="226" spans="1:9" s="65" customFormat="1" x14ac:dyDescent="0.35">
      <c r="A226" s="60"/>
      <c r="B226" s="60"/>
      <c r="C226" s="60" t="s">
        <v>111</v>
      </c>
      <c r="D226" s="64">
        <f>SUM(D227:D230)</f>
        <v>-8654820</v>
      </c>
      <c r="E226" s="64">
        <f t="shared" ref="E226:F226" si="106">SUM(E227:E230)</f>
        <v>-8712260</v>
      </c>
      <c r="F226" s="64">
        <f t="shared" si="106"/>
        <v>-8429321</v>
      </c>
      <c r="G226" s="64">
        <f t="shared" si="102"/>
        <v>282939</v>
      </c>
      <c r="H226" s="68"/>
      <c r="I226" s="68"/>
    </row>
    <row r="227" spans="1:9" x14ac:dyDescent="0.35">
      <c r="A227" s="62"/>
      <c r="B227" s="62"/>
      <c r="C227" s="62" t="s">
        <v>62</v>
      </c>
      <c r="D227" s="63">
        <v>-5836655</v>
      </c>
      <c r="E227" s="63">
        <v>-5836655</v>
      </c>
      <c r="F227" s="63">
        <v>-5556153</v>
      </c>
      <c r="G227" s="63">
        <f t="shared" si="102"/>
        <v>280502</v>
      </c>
    </row>
    <row r="228" spans="1:9" x14ac:dyDescent="0.35">
      <c r="A228" s="60"/>
      <c r="B228" s="60"/>
      <c r="C228" s="62" t="s">
        <v>63</v>
      </c>
      <c r="D228" s="63">
        <v>-2814361</v>
      </c>
      <c r="E228" s="63">
        <v>-2869067</v>
      </c>
      <c r="F228" s="63">
        <v>-2866010</v>
      </c>
      <c r="G228" s="63">
        <f t="shared" si="102"/>
        <v>3057</v>
      </c>
    </row>
    <row r="229" spans="1:9" x14ac:dyDescent="0.35">
      <c r="A229" s="60"/>
      <c r="B229" s="60"/>
      <c r="C229" s="62" t="s">
        <v>107</v>
      </c>
      <c r="D229" s="63">
        <v>-3804</v>
      </c>
      <c r="E229" s="63">
        <v>-3804</v>
      </c>
      <c r="F229" s="63">
        <v>-3804</v>
      </c>
      <c r="G229" s="63">
        <f t="shared" si="102"/>
        <v>0</v>
      </c>
    </row>
    <row r="230" spans="1:9" x14ac:dyDescent="0.35">
      <c r="A230" s="60"/>
      <c r="B230" s="60"/>
      <c r="C230" s="62" t="s">
        <v>64</v>
      </c>
      <c r="D230" s="63">
        <v>0</v>
      </c>
      <c r="E230" s="63">
        <v>-2734</v>
      </c>
      <c r="F230" s="63">
        <v>-3354</v>
      </c>
      <c r="G230" s="63">
        <f t="shared" si="102"/>
        <v>-620</v>
      </c>
    </row>
    <row r="231" spans="1:9" x14ac:dyDescent="0.35">
      <c r="A231" s="60"/>
      <c r="B231" s="60"/>
      <c r="C231" s="60" t="s">
        <v>112</v>
      </c>
      <c r="D231" s="64">
        <f>SUM(D232)</f>
        <v>0</v>
      </c>
      <c r="E231" s="64">
        <f t="shared" ref="E231:F231" si="107">SUM(E232)</f>
        <v>0</v>
      </c>
      <c r="F231" s="64">
        <f t="shared" si="107"/>
        <v>286</v>
      </c>
      <c r="G231" s="64">
        <f t="shared" si="102"/>
        <v>286</v>
      </c>
    </row>
    <row r="232" spans="1:9" x14ac:dyDescent="0.35">
      <c r="A232" s="60"/>
      <c r="B232" s="60"/>
      <c r="C232" s="62" t="s">
        <v>64</v>
      </c>
      <c r="D232" s="63">
        <v>0</v>
      </c>
      <c r="E232" s="63">
        <v>0</v>
      </c>
      <c r="F232" s="63">
        <v>286</v>
      </c>
      <c r="G232" s="63">
        <f t="shared" si="102"/>
        <v>286</v>
      </c>
    </row>
    <row r="233" spans="1:9" x14ac:dyDescent="0.35">
      <c r="A233" s="60"/>
      <c r="B233" s="60"/>
      <c r="C233" s="60" t="s">
        <v>113</v>
      </c>
      <c r="D233" s="64">
        <f>SUM(D235:D237)</f>
        <v>0</v>
      </c>
      <c r="E233" s="64">
        <f>SUM(E234:E237)</f>
        <v>-194884</v>
      </c>
      <c r="F233" s="64">
        <f t="shared" ref="F233" si="108">SUM(F235:F237)</f>
        <v>-85360</v>
      </c>
      <c r="G233" s="64">
        <f t="shared" si="102"/>
        <v>109524</v>
      </c>
    </row>
    <row r="234" spans="1:9" x14ac:dyDescent="0.35">
      <c r="A234" s="62"/>
      <c r="B234" s="62"/>
      <c r="C234" s="62" t="s">
        <v>153</v>
      </c>
      <c r="D234" s="63"/>
      <c r="E234" s="63">
        <v>-194884</v>
      </c>
      <c r="F234" s="63"/>
      <c r="G234" s="63"/>
    </row>
    <row r="235" spans="1:9" x14ac:dyDescent="0.35">
      <c r="A235" s="60"/>
      <c r="B235" s="60"/>
      <c r="C235" s="62" t="s">
        <v>62</v>
      </c>
      <c r="D235" s="63">
        <v>0</v>
      </c>
      <c r="E235" s="63">
        <v>0</v>
      </c>
      <c r="F235" s="63">
        <v>-13457</v>
      </c>
      <c r="G235" s="63">
        <f t="shared" si="102"/>
        <v>-13457</v>
      </c>
    </row>
    <row r="236" spans="1:9" x14ac:dyDescent="0.35">
      <c r="A236" s="60"/>
      <c r="B236" s="60"/>
      <c r="C236" s="62" t="s">
        <v>63</v>
      </c>
      <c r="D236" s="63">
        <v>0</v>
      </c>
      <c r="E236" s="63">
        <v>0</v>
      </c>
      <c r="F236" s="63">
        <v>-60682</v>
      </c>
      <c r="G236" s="63">
        <f t="shared" si="102"/>
        <v>-60682</v>
      </c>
    </row>
    <row r="237" spans="1:9" x14ac:dyDescent="0.35">
      <c r="A237" s="60"/>
      <c r="B237" s="60"/>
      <c r="C237" s="62" t="s">
        <v>107</v>
      </c>
      <c r="D237" s="63">
        <v>0</v>
      </c>
      <c r="E237" s="63">
        <v>0</v>
      </c>
      <c r="F237" s="63">
        <v>-11221</v>
      </c>
      <c r="G237" s="63">
        <f t="shared" si="102"/>
        <v>-11221</v>
      </c>
    </row>
    <row r="238" spans="1:9" s="65" customFormat="1" x14ac:dyDescent="0.35">
      <c r="A238" s="60"/>
      <c r="B238" s="60"/>
      <c r="C238" s="60" t="s">
        <v>114</v>
      </c>
      <c r="D238" s="64">
        <f>SUM(D240:D242)</f>
        <v>-247260</v>
      </c>
      <c r="E238" s="64">
        <f>SUM(E239:E242)</f>
        <v>-2448710</v>
      </c>
      <c r="F238" s="64">
        <f t="shared" ref="F238" si="109">SUM(F240:F242)</f>
        <v>-866668</v>
      </c>
      <c r="G238" s="64">
        <f t="shared" si="102"/>
        <v>1582042</v>
      </c>
      <c r="H238" s="68"/>
      <c r="I238" s="68"/>
    </row>
    <row r="239" spans="1:9" x14ac:dyDescent="0.35">
      <c r="A239" s="62"/>
      <c r="B239" s="62"/>
      <c r="C239" s="62" t="s">
        <v>153</v>
      </c>
      <c r="D239" s="63">
        <v>0</v>
      </c>
      <c r="E239" s="63">
        <v>-2448710</v>
      </c>
      <c r="F239" s="63"/>
      <c r="G239" s="63"/>
    </row>
    <row r="240" spans="1:9" x14ac:dyDescent="0.35">
      <c r="A240" s="62"/>
      <c r="B240" s="62"/>
      <c r="C240" s="62" t="s">
        <v>62</v>
      </c>
      <c r="D240" s="63">
        <v>-120000</v>
      </c>
      <c r="E240" s="63">
        <v>0</v>
      </c>
      <c r="F240" s="63">
        <v>-569742</v>
      </c>
      <c r="G240" s="63">
        <f t="shared" ref="G240" si="110">F240-E240</f>
        <v>-569742</v>
      </c>
    </row>
    <row r="241" spans="1:9" x14ac:dyDescent="0.35">
      <c r="A241" s="62"/>
      <c r="B241" s="62"/>
      <c r="C241" s="62" t="s">
        <v>63</v>
      </c>
      <c r="D241" s="63">
        <v>-127260</v>
      </c>
      <c r="E241" s="63">
        <v>0</v>
      </c>
      <c r="F241" s="63">
        <v>-296426</v>
      </c>
      <c r="G241" s="63">
        <f t="shared" si="102"/>
        <v>-296426</v>
      </c>
    </row>
    <row r="242" spans="1:9" x14ac:dyDescent="0.35">
      <c r="A242" s="62"/>
      <c r="B242" s="62"/>
      <c r="C242" s="62" t="s">
        <v>107</v>
      </c>
      <c r="D242" s="63">
        <v>0</v>
      </c>
      <c r="E242" s="63">
        <v>0</v>
      </c>
      <c r="F242" s="63">
        <v>-500</v>
      </c>
      <c r="G242" s="63">
        <f t="shared" si="102"/>
        <v>-500</v>
      </c>
    </row>
    <row r="243" spans="1:9" s="65" customFormat="1" x14ac:dyDescent="0.35">
      <c r="A243" s="60"/>
      <c r="B243" s="60"/>
      <c r="C243" s="60" t="s">
        <v>116</v>
      </c>
      <c r="D243" s="64">
        <v>-257822</v>
      </c>
      <c r="E243" s="64">
        <v>-257822</v>
      </c>
      <c r="F243" s="64">
        <v>-700251</v>
      </c>
      <c r="G243" s="64">
        <f t="shared" si="102"/>
        <v>-442429</v>
      </c>
      <c r="H243" s="68"/>
      <c r="I243" s="68"/>
    </row>
    <row r="244" spans="1:9" ht="14.25" customHeight="1" x14ac:dyDescent="0.35">
      <c r="A244" s="60"/>
      <c r="B244" s="60" t="s">
        <v>124</v>
      </c>
      <c r="C244" s="60"/>
      <c r="D244" s="64">
        <f>SUM(D246:D248)</f>
        <v>-1869093</v>
      </c>
      <c r="E244" s="64">
        <f>SUM(E245:E248)</f>
        <v>-2603243</v>
      </c>
      <c r="F244" s="64">
        <f>SUM(F246:F248)</f>
        <v>-2171095</v>
      </c>
      <c r="G244" s="64">
        <f>F244-E244</f>
        <v>432148</v>
      </c>
      <c r="H244" s="80"/>
    </row>
    <row r="245" spans="1:9" ht="14.25" customHeight="1" x14ac:dyDescent="0.35">
      <c r="A245" s="62"/>
      <c r="B245" s="62"/>
      <c r="C245" s="62" t="s">
        <v>153</v>
      </c>
      <c r="D245" s="63">
        <v>0</v>
      </c>
      <c r="E245" s="63">
        <f>E255+E258</f>
        <v>-604437</v>
      </c>
      <c r="F245" s="63">
        <v>0</v>
      </c>
      <c r="G245" s="63">
        <f t="shared" ref="G245:G249" si="111">F245-E245</f>
        <v>604437</v>
      </c>
      <c r="H245" s="81"/>
    </row>
    <row r="246" spans="1:9" x14ac:dyDescent="0.35">
      <c r="A246" s="62"/>
      <c r="B246" s="62"/>
      <c r="C246" s="62" t="s">
        <v>62</v>
      </c>
      <c r="D246" s="63">
        <f>D250+D259+D256</f>
        <v>-1450240</v>
      </c>
      <c r="E246" s="63">
        <f>E250+E259+E256</f>
        <v>-1543347</v>
      </c>
      <c r="F246" s="63">
        <f>F250+F259+F256</f>
        <v>-1733337</v>
      </c>
      <c r="G246" s="63">
        <f t="shared" si="111"/>
        <v>-189990</v>
      </c>
      <c r="H246" s="80"/>
    </row>
    <row r="247" spans="1:9" x14ac:dyDescent="0.35">
      <c r="A247" s="62"/>
      <c r="B247" s="62"/>
      <c r="C247" s="62" t="s">
        <v>63</v>
      </c>
      <c r="D247" s="63">
        <f>D251+D260</f>
        <v>-74841</v>
      </c>
      <c r="E247" s="63">
        <f>E251+E260</f>
        <v>-111447</v>
      </c>
      <c r="F247" s="63">
        <f>F251+F260</f>
        <v>-107239</v>
      </c>
      <c r="G247" s="63">
        <f t="shared" si="111"/>
        <v>4208</v>
      </c>
      <c r="H247" s="82"/>
    </row>
    <row r="248" spans="1:9" x14ac:dyDescent="0.35">
      <c r="A248" s="62"/>
      <c r="B248" s="62"/>
      <c r="C248" s="62" t="s">
        <v>108</v>
      </c>
      <c r="D248" s="63">
        <f>D261+D253</f>
        <v>-344012</v>
      </c>
      <c r="E248" s="63">
        <f>E261+E253</f>
        <v>-344012</v>
      </c>
      <c r="F248" s="63">
        <f>F261+F253</f>
        <v>-330519</v>
      </c>
      <c r="G248" s="63">
        <f>F248-E248</f>
        <v>13493</v>
      </c>
      <c r="H248" s="80"/>
    </row>
    <row r="249" spans="1:9" x14ac:dyDescent="0.35">
      <c r="A249" s="60"/>
      <c r="B249" s="60"/>
      <c r="C249" s="60" t="s">
        <v>111</v>
      </c>
      <c r="D249" s="64">
        <f>SUM(D250:D251)</f>
        <v>-1376408</v>
      </c>
      <c r="E249" s="64">
        <f>SUM(E250:E251)</f>
        <v>-1654794</v>
      </c>
      <c r="F249" s="64">
        <f>SUM(F250:F251)</f>
        <v>-1621238</v>
      </c>
      <c r="G249" s="63">
        <f t="shared" si="111"/>
        <v>33556</v>
      </c>
      <c r="H249" s="80"/>
    </row>
    <row r="250" spans="1:9" x14ac:dyDescent="0.35">
      <c r="A250" s="62"/>
      <c r="B250" s="62"/>
      <c r="C250" s="62" t="s">
        <v>62</v>
      </c>
      <c r="D250" s="63">
        <v>-1301567</v>
      </c>
      <c r="E250" s="63">
        <v>-1543347</v>
      </c>
      <c r="F250" s="63">
        <v>-1514720</v>
      </c>
      <c r="G250" s="63">
        <f t="shared" ref="G250:G262" si="112">F250-E250</f>
        <v>28627</v>
      </c>
      <c r="H250" s="80"/>
    </row>
    <row r="251" spans="1:9" x14ac:dyDescent="0.35">
      <c r="A251" s="60"/>
      <c r="B251" s="60"/>
      <c r="C251" s="62" t="s">
        <v>63</v>
      </c>
      <c r="D251" s="63">
        <v>-74841</v>
      </c>
      <c r="E251" s="63">
        <v>-111447</v>
      </c>
      <c r="F251" s="63">
        <v>-106518</v>
      </c>
      <c r="G251" s="63">
        <f t="shared" si="112"/>
        <v>4929</v>
      </c>
    </row>
    <row r="252" spans="1:9" x14ac:dyDescent="0.35">
      <c r="A252" s="60"/>
      <c r="B252" s="60"/>
      <c r="C252" s="60" t="s">
        <v>112</v>
      </c>
      <c r="D252" s="64">
        <f>SUM(D253)</f>
        <v>0</v>
      </c>
      <c r="E252" s="64">
        <f t="shared" ref="E252:F252" si="113">SUM(E253)</f>
        <v>0</v>
      </c>
      <c r="F252" s="64">
        <f t="shared" si="113"/>
        <v>1</v>
      </c>
      <c r="G252" s="64">
        <f t="shared" si="112"/>
        <v>1</v>
      </c>
    </row>
    <row r="253" spans="1:9" x14ac:dyDescent="0.35">
      <c r="A253" s="60"/>
      <c r="B253" s="60"/>
      <c r="C253" s="62" t="s">
        <v>64</v>
      </c>
      <c r="D253" s="63">
        <v>0</v>
      </c>
      <c r="E253" s="63">
        <v>0</v>
      </c>
      <c r="F253" s="63">
        <v>1</v>
      </c>
      <c r="G253" s="63">
        <f t="shared" si="112"/>
        <v>1</v>
      </c>
    </row>
    <row r="254" spans="1:9" x14ac:dyDescent="0.35">
      <c r="A254" s="60"/>
      <c r="B254" s="60"/>
      <c r="C254" s="60" t="s">
        <v>113</v>
      </c>
      <c r="D254" s="64">
        <f>SUM(D256:D256)</f>
        <v>0</v>
      </c>
      <c r="E254" s="64">
        <f>SUM(E255:E256)</f>
        <v>-34171</v>
      </c>
      <c r="F254" s="64">
        <f>SUM(F256:F256)</f>
        <v>-23186</v>
      </c>
      <c r="G254" s="64">
        <f t="shared" si="112"/>
        <v>10985</v>
      </c>
    </row>
    <row r="255" spans="1:9" x14ac:dyDescent="0.35">
      <c r="A255" s="62"/>
      <c r="B255" s="62"/>
      <c r="C255" s="62" t="s">
        <v>153</v>
      </c>
      <c r="D255" s="63">
        <v>0</v>
      </c>
      <c r="E255" s="63">
        <v>-34171</v>
      </c>
      <c r="F255" s="63">
        <v>0</v>
      </c>
      <c r="G255" s="63">
        <f t="shared" si="112"/>
        <v>34171</v>
      </c>
    </row>
    <row r="256" spans="1:9" x14ac:dyDescent="0.35">
      <c r="A256" s="60"/>
      <c r="B256" s="60"/>
      <c r="C256" s="62" t="s">
        <v>62</v>
      </c>
      <c r="D256" s="63">
        <v>0</v>
      </c>
      <c r="E256" s="63">
        <v>0</v>
      </c>
      <c r="F256" s="63">
        <v>-23186</v>
      </c>
      <c r="G256" s="63">
        <f t="shared" si="112"/>
        <v>-23186</v>
      </c>
    </row>
    <row r="257" spans="1:10" s="65" customFormat="1" x14ac:dyDescent="0.35">
      <c r="A257" s="60"/>
      <c r="B257" s="60"/>
      <c r="C257" s="60" t="s">
        <v>114</v>
      </c>
      <c r="D257" s="64">
        <f>SUM(D259:D260)</f>
        <v>-148673</v>
      </c>
      <c r="E257" s="64">
        <f>SUM(E258:E260)</f>
        <v>-570266</v>
      </c>
      <c r="F257" s="64">
        <f t="shared" ref="F257" si="114">SUM(F259:F260)</f>
        <v>-196152</v>
      </c>
      <c r="G257" s="64">
        <f t="shared" si="112"/>
        <v>374114</v>
      </c>
      <c r="H257" s="68"/>
      <c r="I257" s="68"/>
    </row>
    <row r="258" spans="1:10" x14ac:dyDescent="0.35">
      <c r="A258" s="62"/>
      <c r="B258" s="62"/>
      <c r="C258" s="62" t="s">
        <v>153</v>
      </c>
      <c r="D258" s="63">
        <v>0</v>
      </c>
      <c r="E258" s="63">
        <v>-570266</v>
      </c>
      <c r="F258" s="63">
        <v>0</v>
      </c>
      <c r="G258" s="63">
        <f t="shared" si="112"/>
        <v>570266</v>
      </c>
    </row>
    <row r="259" spans="1:10" x14ac:dyDescent="0.35">
      <c r="A259" s="60"/>
      <c r="B259" s="60"/>
      <c r="C259" s="62" t="s">
        <v>62</v>
      </c>
      <c r="D259" s="63">
        <v>-148673</v>
      </c>
      <c r="E259" s="63">
        <v>0</v>
      </c>
      <c r="F259" s="63">
        <v>-195431</v>
      </c>
      <c r="G259" s="63">
        <f t="shared" si="112"/>
        <v>-195431</v>
      </c>
    </row>
    <row r="260" spans="1:10" x14ac:dyDescent="0.35">
      <c r="A260" s="60"/>
      <c r="B260" s="60"/>
      <c r="C260" s="62" t="s">
        <v>63</v>
      </c>
      <c r="D260" s="63">
        <v>0</v>
      </c>
      <c r="E260" s="63">
        <v>0</v>
      </c>
      <c r="F260" s="63">
        <v>-721</v>
      </c>
      <c r="G260" s="63">
        <f t="shared" si="112"/>
        <v>-721</v>
      </c>
      <c r="H260" s="80"/>
    </row>
    <row r="261" spans="1:10" s="65" customFormat="1" x14ac:dyDescent="0.35">
      <c r="A261" s="60"/>
      <c r="B261" s="60"/>
      <c r="C261" s="60" t="s">
        <v>116</v>
      </c>
      <c r="D261" s="64">
        <v>-344012</v>
      </c>
      <c r="E261" s="64">
        <v>-344012</v>
      </c>
      <c r="F261" s="64">
        <v>-330520</v>
      </c>
      <c r="G261" s="64">
        <f t="shared" si="112"/>
        <v>13492</v>
      </c>
      <c r="H261" s="68"/>
      <c r="I261" s="68"/>
    </row>
    <row r="262" spans="1:10" ht="15.5" x14ac:dyDescent="0.35">
      <c r="A262" s="78" t="s">
        <v>134</v>
      </c>
      <c r="B262" s="60"/>
      <c r="C262" s="60"/>
      <c r="D262" s="64">
        <f>SUM(D263:D267)</f>
        <v>-71727870</v>
      </c>
      <c r="E262" s="64">
        <f t="shared" ref="E262:F262" si="115">SUM(E263:E267)</f>
        <v>-79101088</v>
      </c>
      <c r="F262" s="64">
        <f t="shared" si="115"/>
        <v>-76458414</v>
      </c>
      <c r="G262" s="64">
        <f t="shared" si="112"/>
        <v>2642674</v>
      </c>
    </row>
    <row r="263" spans="1:10" x14ac:dyDescent="0.35">
      <c r="A263" s="62"/>
      <c r="B263" s="62" t="s">
        <v>111</v>
      </c>
      <c r="C263" s="62"/>
      <c r="D263" s="63">
        <f>D275+D292+D311</f>
        <v>-69600151</v>
      </c>
      <c r="E263" s="63">
        <f>E275+E292+E311</f>
        <v>-72311729</v>
      </c>
      <c r="F263" s="63">
        <f>F275+F292+F311</f>
        <v>-71292126</v>
      </c>
      <c r="G263" s="63">
        <f t="shared" ref="G263:G267" si="116">F263-E263</f>
        <v>1019603</v>
      </c>
    </row>
    <row r="264" spans="1:10" x14ac:dyDescent="0.35">
      <c r="A264" s="62"/>
      <c r="B264" s="62" t="s">
        <v>112</v>
      </c>
      <c r="C264" s="62"/>
      <c r="D264" s="63">
        <f>D295+D316</f>
        <v>0</v>
      </c>
      <c r="E264" s="63">
        <f>E295+E316</f>
        <v>0</v>
      </c>
      <c r="F264" s="63">
        <f>F295+F316</f>
        <v>55</v>
      </c>
      <c r="G264" s="63">
        <f t="shared" si="116"/>
        <v>55</v>
      </c>
    </row>
    <row r="265" spans="1:10" x14ac:dyDescent="0.35">
      <c r="A265" s="62"/>
      <c r="B265" s="62" t="s">
        <v>113</v>
      </c>
      <c r="C265" s="62"/>
      <c r="D265" s="63">
        <f>D280+D297+D318</f>
        <v>-407232</v>
      </c>
      <c r="E265" s="63">
        <f>E280+E297+E318</f>
        <v>-789749</v>
      </c>
      <c r="F265" s="63">
        <f>F280+F297+F318</f>
        <v>-473720</v>
      </c>
      <c r="G265" s="63">
        <f t="shared" si="116"/>
        <v>316029</v>
      </c>
    </row>
    <row r="266" spans="1:10" x14ac:dyDescent="0.35">
      <c r="A266" s="62"/>
      <c r="B266" s="62" t="s">
        <v>114</v>
      </c>
      <c r="C266" s="62"/>
      <c r="D266" s="63">
        <f>D300+D322+D284</f>
        <v>-1221044</v>
      </c>
      <c r="E266" s="63">
        <f>E300+E322+E284</f>
        <v>-5500167</v>
      </c>
      <c r="F266" s="63">
        <f>F300+F322+F284</f>
        <v>-4079233</v>
      </c>
      <c r="G266" s="63">
        <f t="shared" si="116"/>
        <v>1420934</v>
      </c>
    </row>
    <row r="267" spans="1:10" x14ac:dyDescent="0.35">
      <c r="A267" s="62"/>
      <c r="B267" s="62" t="s">
        <v>115</v>
      </c>
      <c r="C267" s="62"/>
      <c r="D267" s="63">
        <f>D304+D327+D286</f>
        <v>-499443</v>
      </c>
      <c r="E267" s="63">
        <f>E304+E327+E286</f>
        <v>-499443</v>
      </c>
      <c r="F267" s="63">
        <f>F304+F327+F286</f>
        <v>-613390</v>
      </c>
      <c r="G267" s="63">
        <f t="shared" si="116"/>
        <v>-113947</v>
      </c>
    </row>
    <row r="268" spans="1:10" x14ac:dyDescent="0.35">
      <c r="A268" s="60"/>
      <c r="B268" s="60" t="s">
        <v>123</v>
      </c>
      <c r="C268" s="60"/>
      <c r="D268" s="64">
        <f>SUM(D270:D274)</f>
        <v>-3710280</v>
      </c>
      <c r="E268" s="64">
        <f>SUM(E269:E274)</f>
        <v>-2877764</v>
      </c>
      <c r="F268" s="64">
        <f>SUM(F270:F274)</f>
        <v>-2418740</v>
      </c>
      <c r="G268" s="64">
        <f>F268-E268</f>
        <v>459024</v>
      </c>
      <c r="J268" s="68"/>
    </row>
    <row r="269" spans="1:10" x14ac:dyDescent="0.35">
      <c r="A269" s="62"/>
      <c r="B269" s="62"/>
      <c r="C269" s="62" t="s">
        <v>153</v>
      </c>
      <c r="D269" s="63">
        <v>0</v>
      </c>
      <c r="E269" s="63">
        <f>E281</f>
        <v>-544642</v>
      </c>
      <c r="F269" s="63">
        <v>0</v>
      </c>
      <c r="G269" s="63">
        <f t="shared" ref="G269:G274" si="117">F269-E269</f>
        <v>544642</v>
      </c>
      <c r="J269" s="68"/>
    </row>
    <row r="270" spans="1:10" x14ac:dyDescent="0.35">
      <c r="A270" s="62"/>
      <c r="B270" s="62"/>
      <c r="C270" s="62" t="s">
        <v>62</v>
      </c>
      <c r="D270" s="63">
        <f>D276+D282+D285</f>
        <v>-2421723</v>
      </c>
      <c r="E270" s="63">
        <f t="shared" ref="E270:F270" si="118">E276+E282+E285</f>
        <v>-1856926</v>
      </c>
      <c r="F270" s="63">
        <f t="shared" si="118"/>
        <v>-1818891</v>
      </c>
      <c r="G270" s="63">
        <f t="shared" si="117"/>
        <v>38035</v>
      </c>
    </row>
    <row r="271" spans="1:10" x14ac:dyDescent="0.35">
      <c r="A271" s="62"/>
      <c r="B271" s="62"/>
      <c r="C271" s="62" t="s">
        <v>63</v>
      </c>
      <c r="D271" s="63">
        <f>D277+D283</f>
        <v>-1128808</v>
      </c>
      <c r="E271" s="63">
        <f>E277+E283</f>
        <v>-322247</v>
      </c>
      <c r="F271" s="63">
        <f>F277+F283</f>
        <v>-445416</v>
      </c>
      <c r="G271" s="63">
        <f t="shared" si="117"/>
        <v>-123169</v>
      </c>
    </row>
    <row r="272" spans="1:10" x14ac:dyDescent="0.35">
      <c r="A272" s="62"/>
      <c r="B272" s="62"/>
      <c r="C272" s="62" t="s">
        <v>106</v>
      </c>
      <c r="D272" s="63">
        <f>D278</f>
        <v>-1600</v>
      </c>
      <c r="E272" s="63">
        <f t="shared" ref="E272:F272" si="119">E278</f>
        <v>-800</v>
      </c>
      <c r="F272" s="63">
        <f t="shared" si="119"/>
        <v>-800</v>
      </c>
      <c r="G272" s="63">
        <f t="shared" si="117"/>
        <v>0</v>
      </c>
    </row>
    <row r="273" spans="1:9" x14ac:dyDescent="0.35">
      <c r="A273" s="62"/>
      <c r="B273" s="62"/>
      <c r="C273" s="62" t="s">
        <v>107</v>
      </c>
      <c r="D273" s="63">
        <f>D279</f>
        <v>-158149</v>
      </c>
      <c r="E273" s="63">
        <f t="shared" ref="E273:F273" si="120">E279</f>
        <v>-153149</v>
      </c>
      <c r="F273" s="63">
        <f t="shared" si="120"/>
        <v>-153149</v>
      </c>
      <c r="G273" s="63">
        <f t="shared" si="117"/>
        <v>0</v>
      </c>
    </row>
    <row r="274" spans="1:9" x14ac:dyDescent="0.35">
      <c r="A274" s="62"/>
      <c r="B274" s="62"/>
      <c r="C274" s="62" t="s">
        <v>108</v>
      </c>
      <c r="D274" s="63">
        <f>D286</f>
        <v>0</v>
      </c>
      <c r="E274" s="63">
        <f t="shared" ref="E274:F274" si="121">E286</f>
        <v>0</v>
      </c>
      <c r="F274" s="63">
        <f t="shared" si="121"/>
        <v>-484</v>
      </c>
      <c r="G274" s="63">
        <f t="shared" si="117"/>
        <v>-484</v>
      </c>
    </row>
    <row r="275" spans="1:9" x14ac:dyDescent="0.35">
      <c r="A275" s="60"/>
      <c r="B275" s="60"/>
      <c r="C275" s="60" t="s">
        <v>111</v>
      </c>
      <c r="D275" s="64">
        <f>SUM(D276:D279)</f>
        <v>-3303048</v>
      </c>
      <c r="E275" s="64">
        <f>SUM(E276:E279)</f>
        <v>-2333122</v>
      </c>
      <c r="F275" s="64">
        <f>SUM(F276:F279)</f>
        <v>-2148123</v>
      </c>
      <c r="G275" s="64">
        <f>F275-E275</f>
        <v>184999</v>
      </c>
    </row>
    <row r="276" spans="1:9" x14ac:dyDescent="0.35">
      <c r="A276" s="62"/>
      <c r="B276" s="62"/>
      <c r="C276" s="62" t="s">
        <v>62</v>
      </c>
      <c r="D276" s="63">
        <v>-2327221</v>
      </c>
      <c r="E276" s="63">
        <v>-1856926</v>
      </c>
      <c r="F276" s="63">
        <v>-1730844</v>
      </c>
      <c r="G276" s="63">
        <f t="shared" ref="G276:G279" si="122">F276-E276</f>
        <v>126082</v>
      </c>
    </row>
    <row r="277" spans="1:9" x14ac:dyDescent="0.35">
      <c r="A277" s="62"/>
      <c r="B277" s="62"/>
      <c r="C277" s="62" t="s">
        <v>63</v>
      </c>
      <c r="D277" s="63">
        <v>-816078</v>
      </c>
      <c r="E277" s="63">
        <v>-322247</v>
      </c>
      <c r="F277" s="63">
        <v>-263330</v>
      </c>
      <c r="G277" s="63">
        <f t="shared" si="122"/>
        <v>58917</v>
      </c>
    </row>
    <row r="278" spans="1:9" x14ac:dyDescent="0.35">
      <c r="A278" s="62"/>
      <c r="B278" s="62"/>
      <c r="C278" s="62" t="s">
        <v>106</v>
      </c>
      <c r="D278" s="63">
        <v>-1600</v>
      </c>
      <c r="E278" s="63">
        <v>-800</v>
      </c>
      <c r="F278" s="63">
        <v>-800</v>
      </c>
      <c r="G278" s="63">
        <f t="shared" si="122"/>
        <v>0</v>
      </c>
    </row>
    <row r="279" spans="1:9" x14ac:dyDescent="0.35">
      <c r="A279" s="62"/>
      <c r="B279" s="62"/>
      <c r="C279" s="62" t="s">
        <v>107</v>
      </c>
      <c r="D279" s="63">
        <v>-158149</v>
      </c>
      <c r="E279" s="63">
        <v>-153149</v>
      </c>
      <c r="F279" s="63">
        <v>-153149</v>
      </c>
      <c r="G279" s="63">
        <f t="shared" si="122"/>
        <v>0</v>
      </c>
    </row>
    <row r="280" spans="1:9" x14ac:dyDescent="0.35">
      <c r="A280" s="60"/>
      <c r="B280" s="60"/>
      <c r="C280" s="60" t="s">
        <v>113</v>
      </c>
      <c r="D280" s="64">
        <f>SUM(D282:D283)</f>
        <v>-407232</v>
      </c>
      <c r="E280" s="64">
        <f>SUM(E281:E283)</f>
        <v>-544642</v>
      </c>
      <c r="F280" s="64">
        <f>SUM(F282:F283)</f>
        <v>-251943</v>
      </c>
      <c r="G280" s="64">
        <f>F280-E280</f>
        <v>292699</v>
      </c>
    </row>
    <row r="281" spans="1:9" x14ac:dyDescent="0.35">
      <c r="A281" s="62"/>
      <c r="B281" s="62"/>
      <c r="C281" s="62" t="s">
        <v>153</v>
      </c>
      <c r="D281" s="63">
        <v>0</v>
      </c>
      <c r="E281" s="63">
        <v>-544642</v>
      </c>
      <c r="F281" s="63">
        <v>0</v>
      </c>
      <c r="G281" s="63">
        <f t="shared" ref="G281:G286" si="123">F281-E281</f>
        <v>544642</v>
      </c>
    </row>
    <row r="282" spans="1:9" x14ac:dyDescent="0.35">
      <c r="A282" s="62"/>
      <c r="B282" s="62"/>
      <c r="C282" s="62" t="s">
        <v>62</v>
      </c>
      <c r="D282" s="63">
        <v>-94502</v>
      </c>
      <c r="E282" s="63">
        <v>0</v>
      </c>
      <c r="F282" s="63">
        <v>-69857</v>
      </c>
      <c r="G282" s="63">
        <f t="shared" si="123"/>
        <v>-69857</v>
      </c>
    </row>
    <row r="283" spans="1:9" x14ac:dyDescent="0.35">
      <c r="A283" s="60"/>
      <c r="B283" s="60"/>
      <c r="C283" s="62" t="s">
        <v>63</v>
      </c>
      <c r="D283" s="63">
        <v>-312730</v>
      </c>
      <c r="E283" s="63">
        <v>0</v>
      </c>
      <c r="F283" s="63">
        <v>-182086</v>
      </c>
      <c r="G283" s="63">
        <f t="shared" si="123"/>
        <v>-182086</v>
      </c>
    </row>
    <row r="284" spans="1:9" x14ac:dyDescent="0.35">
      <c r="A284" s="60"/>
      <c r="B284" s="60"/>
      <c r="C284" s="60" t="s">
        <v>114</v>
      </c>
      <c r="D284" s="64">
        <f>SUM(D285)</f>
        <v>0</v>
      </c>
      <c r="E284" s="64">
        <f t="shared" ref="E284" si="124">SUM(E285)</f>
        <v>0</v>
      </c>
      <c r="F284" s="64">
        <f>SUM(F285)</f>
        <v>-18190</v>
      </c>
      <c r="G284" s="64">
        <f t="shared" si="123"/>
        <v>-18190</v>
      </c>
    </row>
    <row r="285" spans="1:9" x14ac:dyDescent="0.35">
      <c r="A285" s="60"/>
      <c r="B285" s="60"/>
      <c r="C285" s="62" t="s">
        <v>62</v>
      </c>
      <c r="D285" s="63">
        <v>0</v>
      </c>
      <c r="E285" s="63">
        <v>0</v>
      </c>
      <c r="F285" s="63">
        <v>-18190</v>
      </c>
      <c r="G285" s="63">
        <f t="shared" si="123"/>
        <v>-18190</v>
      </c>
    </row>
    <row r="286" spans="1:9" x14ac:dyDescent="0.35">
      <c r="A286" s="60"/>
      <c r="B286" s="60"/>
      <c r="C286" s="60" t="s">
        <v>116</v>
      </c>
      <c r="D286" s="64">
        <v>0</v>
      </c>
      <c r="E286" s="64">
        <v>0</v>
      </c>
      <c r="F286" s="64">
        <v>-484</v>
      </c>
      <c r="G286" s="64">
        <f t="shared" si="123"/>
        <v>-484</v>
      </c>
    </row>
    <row r="287" spans="1:9" ht="14.25" customHeight="1" x14ac:dyDescent="0.35">
      <c r="A287" s="60"/>
      <c r="B287" s="60" t="s">
        <v>124</v>
      </c>
      <c r="C287" s="60"/>
      <c r="D287" s="64">
        <f>SUM(D289:D291)</f>
        <v>-1747970</v>
      </c>
      <c r="E287" s="64">
        <f>SUM(E288:E291)</f>
        <v>-2499188</v>
      </c>
      <c r="F287" s="64">
        <f>SUM(F289:F291)</f>
        <v>-2071219</v>
      </c>
      <c r="G287" s="64">
        <f>F287-E287</f>
        <v>427969</v>
      </c>
      <c r="H287" s="80"/>
    </row>
    <row r="288" spans="1:9" ht="14.25" customHeight="1" x14ac:dyDescent="0.35">
      <c r="A288" s="62"/>
      <c r="B288" s="62"/>
      <c r="C288" s="62" t="s">
        <v>153</v>
      </c>
      <c r="D288" s="63">
        <v>0</v>
      </c>
      <c r="E288" s="63">
        <f>E298+E301</f>
        <v>-601163</v>
      </c>
      <c r="F288" s="63">
        <v>0</v>
      </c>
      <c r="G288" s="63">
        <f t="shared" ref="G288:G290" si="125">F288-E288</f>
        <v>601163</v>
      </c>
      <c r="H288" s="81"/>
      <c r="I288" s="82"/>
    </row>
    <row r="289" spans="1:10" x14ac:dyDescent="0.35">
      <c r="A289" s="62"/>
      <c r="B289" s="62"/>
      <c r="C289" s="62" t="s">
        <v>62</v>
      </c>
      <c r="D289" s="63">
        <f>D293+D302+D299</f>
        <v>-1216182</v>
      </c>
      <c r="E289" s="63">
        <f>E293+E302+E299</f>
        <v>-1289482</v>
      </c>
      <c r="F289" s="63">
        <f>F293+F302+F299</f>
        <v>-1486443</v>
      </c>
      <c r="G289" s="63">
        <f t="shared" si="125"/>
        <v>-196961</v>
      </c>
      <c r="H289" s="80"/>
    </row>
    <row r="290" spans="1:10" x14ac:dyDescent="0.35">
      <c r="A290" s="62"/>
      <c r="B290" s="62"/>
      <c r="C290" s="62" t="s">
        <v>63</v>
      </c>
      <c r="D290" s="63">
        <f>D294+D303</f>
        <v>-119845</v>
      </c>
      <c r="E290" s="63">
        <f>E294+E303</f>
        <v>-196600</v>
      </c>
      <c r="F290" s="63">
        <f>F294+F303</f>
        <v>-188991</v>
      </c>
      <c r="G290" s="63">
        <f t="shared" si="125"/>
        <v>7609</v>
      </c>
      <c r="H290" s="82"/>
    </row>
    <row r="291" spans="1:10" x14ac:dyDescent="0.35">
      <c r="A291" s="62"/>
      <c r="B291" s="62"/>
      <c r="C291" s="62" t="s">
        <v>108</v>
      </c>
      <c r="D291" s="63">
        <f>D296+D304</f>
        <v>-411943</v>
      </c>
      <c r="E291" s="63">
        <f>E296+E304</f>
        <v>-411943</v>
      </c>
      <c r="F291" s="63">
        <f>F296+F304</f>
        <v>-395785</v>
      </c>
      <c r="G291" s="63"/>
      <c r="H291" s="82"/>
    </row>
    <row r="292" spans="1:10" x14ac:dyDescent="0.35">
      <c r="A292" s="60"/>
      <c r="B292" s="60"/>
      <c r="C292" s="60" t="s">
        <v>111</v>
      </c>
      <c r="D292" s="64">
        <f>SUM(D293:D294)</f>
        <v>-1011785</v>
      </c>
      <c r="E292" s="64">
        <f>SUM(E293:E294)</f>
        <v>-1486082</v>
      </c>
      <c r="F292" s="64">
        <f>SUM(F293:F294)</f>
        <v>-1453414</v>
      </c>
      <c r="G292" s="64">
        <f>F292-E292</f>
        <v>32668</v>
      </c>
      <c r="H292" s="80"/>
    </row>
    <row r="293" spans="1:10" x14ac:dyDescent="0.35">
      <c r="A293" s="62"/>
      <c r="B293" s="62"/>
      <c r="C293" s="62" t="s">
        <v>62</v>
      </c>
      <c r="D293" s="63">
        <v>-891940</v>
      </c>
      <c r="E293" s="63">
        <v>-1289482</v>
      </c>
      <c r="F293" s="63">
        <v>-1265998</v>
      </c>
      <c r="G293" s="63">
        <f t="shared" ref="G293:G327" si="126">F293-E293</f>
        <v>23484</v>
      </c>
      <c r="H293" s="80"/>
    </row>
    <row r="294" spans="1:10" x14ac:dyDescent="0.35">
      <c r="A294" s="60"/>
      <c r="B294" s="60"/>
      <c r="C294" s="62" t="s">
        <v>63</v>
      </c>
      <c r="D294" s="63">
        <v>-119845</v>
      </c>
      <c r="E294" s="63">
        <v>-196600</v>
      </c>
      <c r="F294" s="63">
        <v>-187416</v>
      </c>
      <c r="G294" s="63">
        <f t="shared" si="126"/>
        <v>9184</v>
      </c>
    </row>
    <row r="295" spans="1:10" x14ac:dyDescent="0.35">
      <c r="A295" s="60"/>
      <c r="B295" s="60"/>
      <c r="C295" s="60" t="s">
        <v>112</v>
      </c>
      <c r="D295" s="64">
        <f>SUM(D296)</f>
        <v>0</v>
      </c>
      <c r="E295" s="64">
        <f t="shared" ref="E295:F295" si="127">SUM(E296)</f>
        <v>0</v>
      </c>
      <c r="F295" s="64">
        <f t="shared" si="127"/>
        <v>2</v>
      </c>
      <c r="G295" s="64">
        <f t="shared" si="126"/>
        <v>2</v>
      </c>
    </row>
    <row r="296" spans="1:10" x14ac:dyDescent="0.35">
      <c r="A296" s="60"/>
      <c r="B296" s="60"/>
      <c r="C296" s="62" t="s">
        <v>64</v>
      </c>
      <c r="D296" s="63">
        <v>0</v>
      </c>
      <c r="E296" s="63">
        <v>0</v>
      </c>
      <c r="F296" s="63">
        <v>2</v>
      </c>
      <c r="G296" s="64">
        <f t="shared" si="126"/>
        <v>2</v>
      </c>
    </row>
    <row r="297" spans="1:10" x14ac:dyDescent="0.35">
      <c r="A297" s="60"/>
      <c r="B297" s="60"/>
      <c r="C297" s="60" t="s">
        <v>113</v>
      </c>
      <c r="D297" s="64">
        <f>SUM(D299:D299)</f>
        <v>0</v>
      </c>
      <c r="E297" s="64">
        <f>SUM(E298:E299)</f>
        <v>-21371</v>
      </c>
      <c r="F297" s="64">
        <f>SUM(F299:F299)</f>
        <v>-12536</v>
      </c>
      <c r="G297" s="64">
        <f t="shared" si="126"/>
        <v>8835</v>
      </c>
    </row>
    <row r="298" spans="1:10" x14ac:dyDescent="0.35">
      <c r="A298" s="62"/>
      <c r="B298" s="62"/>
      <c r="C298" s="62" t="s">
        <v>153</v>
      </c>
      <c r="D298" s="63">
        <v>0</v>
      </c>
      <c r="E298" s="63">
        <v>-21371</v>
      </c>
      <c r="F298" s="63">
        <v>0</v>
      </c>
      <c r="G298" s="63">
        <f t="shared" si="126"/>
        <v>21371</v>
      </c>
    </row>
    <row r="299" spans="1:10" ht="14.25" customHeight="1" x14ac:dyDescent="0.35">
      <c r="A299" s="60"/>
      <c r="B299" s="60"/>
      <c r="C299" s="62" t="s">
        <v>62</v>
      </c>
      <c r="D299" s="63">
        <v>0</v>
      </c>
      <c r="E299" s="63">
        <v>0</v>
      </c>
      <c r="F299" s="63">
        <v>-12536</v>
      </c>
      <c r="G299" s="63">
        <f t="shared" si="126"/>
        <v>-12536</v>
      </c>
    </row>
    <row r="300" spans="1:10" s="65" customFormat="1" x14ac:dyDescent="0.35">
      <c r="A300" s="60"/>
      <c r="B300" s="60"/>
      <c r="C300" s="60" t="s">
        <v>114</v>
      </c>
      <c r="D300" s="64">
        <f>SUM(D302:D303)</f>
        <v>-324242</v>
      </c>
      <c r="E300" s="64">
        <f>SUM(E301:E303)</f>
        <v>-579792</v>
      </c>
      <c r="F300" s="64">
        <f t="shared" ref="F300" si="128">SUM(F302:F303)</f>
        <v>-209484</v>
      </c>
      <c r="G300" s="64">
        <f t="shared" si="126"/>
        <v>370308</v>
      </c>
      <c r="H300" s="68"/>
      <c r="I300" s="68"/>
    </row>
    <row r="301" spans="1:10" x14ac:dyDescent="0.35">
      <c r="A301" s="62"/>
      <c r="B301" s="62"/>
      <c r="C301" s="62" t="s">
        <v>153</v>
      </c>
      <c r="D301" s="63">
        <v>0</v>
      </c>
      <c r="E301" s="63">
        <v>-579792</v>
      </c>
      <c r="F301" s="63">
        <v>0</v>
      </c>
      <c r="G301" s="63">
        <f t="shared" si="126"/>
        <v>579792</v>
      </c>
    </row>
    <row r="302" spans="1:10" x14ac:dyDescent="0.35">
      <c r="A302" s="60"/>
      <c r="B302" s="60"/>
      <c r="C302" s="62" t="s">
        <v>62</v>
      </c>
      <c r="D302" s="63">
        <v>-324242</v>
      </c>
      <c r="E302" s="63">
        <v>0</v>
      </c>
      <c r="F302" s="63">
        <v>-207909</v>
      </c>
      <c r="G302" s="63">
        <f t="shared" si="126"/>
        <v>-207909</v>
      </c>
    </row>
    <row r="303" spans="1:10" x14ac:dyDescent="0.35">
      <c r="A303" s="60"/>
      <c r="B303" s="60"/>
      <c r="C303" s="62" t="s">
        <v>63</v>
      </c>
      <c r="D303" s="63">
        <v>0</v>
      </c>
      <c r="E303" s="63">
        <v>0</v>
      </c>
      <c r="F303" s="63">
        <v>-1575</v>
      </c>
      <c r="G303" s="63">
        <f t="shared" si="126"/>
        <v>-1575</v>
      </c>
      <c r="H303" s="80"/>
      <c r="I303" s="80"/>
      <c r="J303" s="86"/>
    </row>
    <row r="304" spans="1:10" s="65" customFormat="1" x14ac:dyDescent="0.35">
      <c r="A304" s="60"/>
      <c r="B304" s="60"/>
      <c r="C304" s="60" t="s">
        <v>116</v>
      </c>
      <c r="D304" s="64">
        <v>-411943</v>
      </c>
      <c r="E304" s="64">
        <v>-411943</v>
      </c>
      <c r="F304" s="64">
        <v>-395787</v>
      </c>
      <c r="G304" s="64">
        <f t="shared" si="126"/>
        <v>16156</v>
      </c>
      <c r="H304" s="68"/>
      <c r="I304" s="68"/>
    </row>
    <row r="305" spans="1:9" x14ac:dyDescent="0.35">
      <c r="B305" s="61" t="s">
        <v>157</v>
      </c>
      <c r="D305" s="64">
        <f>SUM(D307:D310)</f>
        <v>-66269620</v>
      </c>
      <c r="E305" s="64">
        <f>SUM(E306:E310)</f>
        <v>-73724136</v>
      </c>
      <c r="F305" s="64">
        <f t="shared" ref="F305" si="129">SUM(F307:F310)</f>
        <v>-71968455</v>
      </c>
      <c r="G305" s="64">
        <f t="shared" si="126"/>
        <v>1755681</v>
      </c>
    </row>
    <row r="306" spans="1:9" x14ac:dyDescent="0.35">
      <c r="B306" s="87"/>
      <c r="C306" s="62" t="s">
        <v>153</v>
      </c>
      <c r="D306" s="63">
        <v>0</v>
      </c>
      <c r="E306" s="63">
        <f>E319+E323</f>
        <v>-5144111</v>
      </c>
      <c r="F306" s="63">
        <v>0</v>
      </c>
      <c r="G306" s="63">
        <f t="shared" si="126"/>
        <v>5144111</v>
      </c>
    </row>
    <row r="307" spans="1:9" x14ac:dyDescent="0.35">
      <c r="A307" s="62"/>
      <c r="B307" s="62"/>
      <c r="C307" s="62" t="s">
        <v>62</v>
      </c>
      <c r="D307" s="63">
        <f>D312+D324+D320</f>
        <v>-39352590</v>
      </c>
      <c r="E307" s="63">
        <f t="shared" ref="E307:F307" si="130">E312+E324+E320</f>
        <v>-39455265</v>
      </c>
      <c r="F307" s="63">
        <f t="shared" si="130"/>
        <v>-40739922</v>
      </c>
      <c r="G307" s="63">
        <f t="shared" si="126"/>
        <v>-1284657</v>
      </c>
    </row>
    <row r="308" spans="1:9" x14ac:dyDescent="0.35">
      <c r="A308" s="62"/>
      <c r="B308" s="62"/>
      <c r="C308" s="62" t="s">
        <v>63</v>
      </c>
      <c r="D308" s="63">
        <f>D313+D325+D321</f>
        <v>-26821530</v>
      </c>
      <c r="E308" s="63">
        <f t="shared" ref="E308:F308" si="131">E313+E325+E321</f>
        <v>-28990234</v>
      </c>
      <c r="F308" s="63">
        <f t="shared" si="131"/>
        <v>-30825386</v>
      </c>
      <c r="G308" s="63">
        <f t="shared" si="126"/>
        <v>-1835152</v>
      </c>
    </row>
    <row r="309" spans="1:9" x14ac:dyDescent="0.35">
      <c r="A309" s="62"/>
      <c r="B309" s="62"/>
      <c r="C309" s="62" t="s">
        <v>106</v>
      </c>
      <c r="D309" s="63">
        <f>D314</f>
        <v>-8000</v>
      </c>
      <c r="E309" s="63">
        <f t="shared" ref="E309:F309" si="132">E314</f>
        <v>-13026</v>
      </c>
      <c r="F309" s="63">
        <f t="shared" si="132"/>
        <v>-2668</v>
      </c>
      <c r="G309" s="63">
        <f t="shared" si="126"/>
        <v>10358</v>
      </c>
    </row>
    <row r="310" spans="1:9" x14ac:dyDescent="0.35">
      <c r="A310" s="62"/>
      <c r="B310" s="62"/>
      <c r="C310" s="62" t="s">
        <v>108</v>
      </c>
      <c r="D310" s="63">
        <f>D327+D315+D317+D326</f>
        <v>-87500</v>
      </c>
      <c r="E310" s="63">
        <f>E327+E315+E317+E326</f>
        <v>-121500</v>
      </c>
      <c r="F310" s="63">
        <f t="shared" ref="F310" si="133">F327+F315+F317+F326</f>
        <v>-400479</v>
      </c>
      <c r="G310" s="63">
        <f t="shared" si="126"/>
        <v>-278979</v>
      </c>
    </row>
    <row r="311" spans="1:9" s="65" customFormat="1" x14ac:dyDescent="0.35">
      <c r="A311" s="60"/>
      <c r="B311" s="60"/>
      <c r="C311" s="60" t="s">
        <v>111</v>
      </c>
      <c r="D311" s="64">
        <f>SUM(D312:D315)</f>
        <v>-65285318</v>
      </c>
      <c r="E311" s="64">
        <f t="shared" ref="E311" si="134">SUM(E312:E315)</f>
        <v>-68492525</v>
      </c>
      <c r="F311" s="64">
        <f>SUM(F312:F315)</f>
        <v>-67690589</v>
      </c>
      <c r="G311" s="64">
        <f t="shared" si="126"/>
        <v>801936</v>
      </c>
      <c r="H311" s="68"/>
      <c r="I311" s="68"/>
    </row>
    <row r="312" spans="1:9" x14ac:dyDescent="0.35">
      <c r="A312" s="62"/>
      <c r="B312" s="62"/>
      <c r="C312" s="62" t="s">
        <v>62</v>
      </c>
      <c r="D312" s="63">
        <v>-39158912</v>
      </c>
      <c r="E312" s="63">
        <v>-39455265</v>
      </c>
      <c r="F312" s="63">
        <v>-39058013</v>
      </c>
      <c r="G312" s="63">
        <f t="shared" si="126"/>
        <v>397252</v>
      </c>
    </row>
    <row r="313" spans="1:9" x14ac:dyDescent="0.35">
      <c r="A313" s="60"/>
      <c r="B313" s="60"/>
      <c r="C313" s="62" t="s">
        <v>63</v>
      </c>
      <c r="D313" s="63">
        <v>-26118406</v>
      </c>
      <c r="E313" s="63">
        <v>-28990234</v>
      </c>
      <c r="F313" s="63">
        <v>-28541597</v>
      </c>
      <c r="G313" s="63">
        <f t="shared" si="126"/>
        <v>448637</v>
      </c>
    </row>
    <row r="314" spans="1:9" x14ac:dyDescent="0.35">
      <c r="A314" s="60"/>
      <c r="B314" s="60"/>
      <c r="C314" s="62" t="s">
        <v>106</v>
      </c>
      <c r="D314" s="63">
        <v>-8000</v>
      </c>
      <c r="E314" s="63">
        <v>-13026</v>
      </c>
      <c r="F314" s="63">
        <v>-2668</v>
      </c>
      <c r="G314" s="63">
        <f t="shared" si="126"/>
        <v>10358</v>
      </c>
    </row>
    <row r="315" spans="1:9" x14ac:dyDescent="0.35">
      <c r="A315" s="60"/>
      <c r="B315" s="60"/>
      <c r="C315" s="62" t="s">
        <v>64</v>
      </c>
      <c r="D315" s="63">
        <v>0</v>
      </c>
      <c r="E315" s="63">
        <v>-34000</v>
      </c>
      <c r="F315" s="63">
        <v>-88311</v>
      </c>
      <c r="G315" s="63">
        <f t="shared" si="126"/>
        <v>-54311</v>
      </c>
    </row>
    <row r="316" spans="1:9" x14ac:dyDescent="0.35">
      <c r="A316" s="60"/>
      <c r="B316" s="60"/>
      <c r="C316" s="60" t="s">
        <v>112</v>
      </c>
      <c r="D316" s="64">
        <f>SUM(D317)</f>
        <v>0</v>
      </c>
      <c r="E316" s="64">
        <f t="shared" ref="E316" si="135">SUM(E317)</f>
        <v>0</v>
      </c>
      <c r="F316" s="64">
        <f>SUM(F317)</f>
        <v>53</v>
      </c>
      <c r="G316" s="64">
        <f t="shared" si="126"/>
        <v>53</v>
      </c>
    </row>
    <row r="317" spans="1:9" x14ac:dyDescent="0.35">
      <c r="A317" s="60"/>
      <c r="B317" s="60"/>
      <c r="C317" s="62" t="s">
        <v>64</v>
      </c>
      <c r="D317" s="63">
        <v>0</v>
      </c>
      <c r="E317" s="63">
        <v>0</v>
      </c>
      <c r="F317" s="63">
        <v>53</v>
      </c>
      <c r="G317" s="63">
        <f t="shared" si="126"/>
        <v>53</v>
      </c>
    </row>
    <row r="318" spans="1:9" x14ac:dyDescent="0.35">
      <c r="A318" s="60"/>
      <c r="B318" s="60"/>
      <c r="C318" s="60" t="s">
        <v>113</v>
      </c>
      <c r="D318" s="64">
        <f>SUM(D320:D321)</f>
        <v>0</v>
      </c>
      <c r="E318" s="64">
        <f>SUM(E319:E321)</f>
        <v>-223736</v>
      </c>
      <c r="F318" s="64">
        <f t="shared" ref="F318" si="136">SUM(F320:F321)</f>
        <v>-209241</v>
      </c>
      <c r="G318" s="64">
        <f t="shared" si="126"/>
        <v>14495</v>
      </c>
    </row>
    <row r="319" spans="1:9" x14ac:dyDescent="0.35">
      <c r="A319" s="62"/>
      <c r="B319" s="62"/>
      <c r="C319" s="62" t="s">
        <v>153</v>
      </c>
      <c r="D319" s="63">
        <v>0</v>
      </c>
      <c r="E319" s="63">
        <v>-223736</v>
      </c>
      <c r="F319" s="63">
        <v>0</v>
      </c>
      <c r="G319" s="63">
        <f t="shared" si="126"/>
        <v>223736</v>
      </c>
    </row>
    <row r="320" spans="1:9" x14ac:dyDescent="0.35">
      <c r="A320" s="60"/>
      <c r="B320" s="60"/>
      <c r="C320" s="62" t="s">
        <v>62</v>
      </c>
      <c r="D320" s="63">
        <v>0</v>
      </c>
      <c r="E320" s="63">
        <v>0</v>
      </c>
      <c r="F320" s="63">
        <v>-103304</v>
      </c>
      <c r="G320" s="63">
        <f t="shared" si="126"/>
        <v>-103304</v>
      </c>
    </row>
    <row r="321" spans="1:9" x14ac:dyDescent="0.35">
      <c r="A321" s="60"/>
      <c r="B321" s="60"/>
      <c r="C321" s="62" t="s">
        <v>63</v>
      </c>
      <c r="D321" s="63">
        <v>0</v>
      </c>
      <c r="E321" s="63">
        <v>0</v>
      </c>
      <c r="F321" s="63">
        <v>-105937</v>
      </c>
      <c r="G321" s="63">
        <f t="shared" si="126"/>
        <v>-105937</v>
      </c>
    </row>
    <row r="322" spans="1:9" s="65" customFormat="1" x14ac:dyDescent="0.35">
      <c r="A322" s="60"/>
      <c r="B322" s="60"/>
      <c r="C322" s="60" t="s">
        <v>114</v>
      </c>
      <c r="D322" s="64">
        <f>SUM(D324:D326)</f>
        <v>-896802</v>
      </c>
      <c r="E322" s="64">
        <f>SUM(E323:E326)</f>
        <v>-4920375</v>
      </c>
      <c r="F322" s="64">
        <f t="shared" ref="F322" si="137">SUM(F324:F326)</f>
        <v>-3851559</v>
      </c>
      <c r="G322" s="64">
        <f t="shared" si="126"/>
        <v>1068816</v>
      </c>
      <c r="H322" s="68"/>
      <c r="I322" s="68"/>
    </row>
    <row r="323" spans="1:9" x14ac:dyDescent="0.35">
      <c r="A323" s="62"/>
      <c r="B323" s="62"/>
      <c r="C323" s="62" t="s">
        <v>153</v>
      </c>
      <c r="D323" s="63">
        <v>0</v>
      </c>
      <c r="E323" s="63">
        <v>-4920375</v>
      </c>
      <c r="F323" s="63">
        <v>0</v>
      </c>
      <c r="G323" s="63">
        <f t="shared" si="126"/>
        <v>4920375</v>
      </c>
    </row>
    <row r="324" spans="1:9" x14ac:dyDescent="0.35">
      <c r="A324" s="62"/>
      <c r="B324" s="62"/>
      <c r="C324" s="62" t="s">
        <v>62</v>
      </c>
      <c r="D324" s="63">
        <v>-193678</v>
      </c>
      <c r="E324" s="63">
        <v>0</v>
      </c>
      <c r="F324" s="63">
        <v>-1578605</v>
      </c>
      <c r="G324" s="63">
        <f t="shared" si="126"/>
        <v>-1578605</v>
      </c>
    </row>
    <row r="325" spans="1:9" x14ac:dyDescent="0.35">
      <c r="A325" s="62"/>
      <c r="B325" s="62"/>
      <c r="C325" s="62" t="s">
        <v>63</v>
      </c>
      <c r="D325" s="63">
        <v>-703124</v>
      </c>
      <c r="E325" s="63">
        <v>0</v>
      </c>
      <c r="F325" s="63">
        <v>-2177852</v>
      </c>
      <c r="G325" s="63">
        <f t="shared" si="126"/>
        <v>-2177852</v>
      </c>
    </row>
    <row r="326" spans="1:9" x14ac:dyDescent="0.35">
      <c r="A326" s="62"/>
      <c r="B326" s="62"/>
      <c r="C326" s="62" t="s">
        <v>64</v>
      </c>
      <c r="D326" s="63">
        <v>0</v>
      </c>
      <c r="E326" s="63">
        <v>0</v>
      </c>
      <c r="F326" s="63">
        <v>-95102</v>
      </c>
      <c r="G326" s="63">
        <f t="shared" si="126"/>
        <v>-95102</v>
      </c>
    </row>
    <row r="327" spans="1:9" s="65" customFormat="1" x14ac:dyDescent="0.35">
      <c r="A327" s="60"/>
      <c r="B327" s="60"/>
      <c r="C327" s="60" t="s">
        <v>116</v>
      </c>
      <c r="D327" s="64">
        <v>-87500</v>
      </c>
      <c r="E327" s="64">
        <f>-87500</f>
        <v>-87500</v>
      </c>
      <c r="F327" s="64">
        <v>-217119</v>
      </c>
      <c r="G327" s="64">
        <f t="shared" si="126"/>
        <v>-129619</v>
      </c>
      <c r="H327" s="68"/>
      <c r="I327" s="68"/>
    </row>
    <row r="328" spans="1:9" ht="15.5" x14ac:dyDescent="0.35">
      <c r="A328" s="78" t="s">
        <v>135</v>
      </c>
      <c r="B328" s="60"/>
      <c r="C328" s="60"/>
      <c r="D328" s="64">
        <f>SUM(D329:D333)</f>
        <v>-76426058</v>
      </c>
      <c r="E328" s="64">
        <f>SUM(E329:E333)</f>
        <v>-81438098.450000003</v>
      </c>
      <c r="F328" s="64">
        <f>SUM(F329:F333)</f>
        <v>-77536396.110000014</v>
      </c>
      <c r="G328" s="64">
        <f t="shared" ref="G328:G333" si="138">F328-E328</f>
        <v>3901702.3399999887</v>
      </c>
      <c r="H328" s="80"/>
      <c r="I328" s="80"/>
    </row>
    <row r="329" spans="1:9" x14ac:dyDescent="0.35">
      <c r="A329" s="62"/>
      <c r="B329" s="62" t="s">
        <v>111</v>
      </c>
      <c r="C329" s="62"/>
      <c r="D329" s="63">
        <f>D340+D354+D373+D389</f>
        <v>-46923347</v>
      </c>
      <c r="E329" s="63">
        <f>E340+E354+E373+E389</f>
        <v>-50047829.289999999</v>
      </c>
      <c r="F329" s="63">
        <f>F340+F354+F373+F389</f>
        <v>-48621853.899999999</v>
      </c>
      <c r="G329" s="63">
        <f t="shared" si="138"/>
        <v>1425975.3900000006</v>
      </c>
    </row>
    <row r="330" spans="1:9" x14ac:dyDescent="0.35">
      <c r="A330" s="62"/>
      <c r="B330" s="62" t="s">
        <v>112</v>
      </c>
      <c r="C330" s="62"/>
      <c r="D330" s="63">
        <f>D377+D345+D392+D357</f>
        <v>-25536755</v>
      </c>
      <c r="E330" s="63">
        <f t="shared" ref="E330:F330" si="139">E377+E345+E392+E357</f>
        <v>-25443912.07</v>
      </c>
      <c r="F330" s="63">
        <f t="shared" si="139"/>
        <v>-23931005.550000001</v>
      </c>
      <c r="G330" s="63">
        <f t="shared" si="138"/>
        <v>1512906.5199999996</v>
      </c>
    </row>
    <row r="331" spans="1:9" x14ac:dyDescent="0.35">
      <c r="A331" s="62"/>
      <c r="B331" s="62" t="s">
        <v>113</v>
      </c>
      <c r="C331" s="62"/>
      <c r="D331" s="63">
        <f>D359</f>
        <v>0</v>
      </c>
      <c r="E331" s="63">
        <f t="shared" ref="E331:F331" si="140">E359</f>
        <v>-321986.56</v>
      </c>
      <c r="F331" s="63">
        <f t="shared" si="140"/>
        <v>-100227.76</v>
      </c>
      <c r="G331" s="63">
        <f t="shared" si="138"/>
        <v>221758.8</v>
      </c>
    </row>
    <row r="332" spans="1:9" x14ac:dyDescent="0.35">
      <c r="A332" s="62"/>
      <c r="B332" s="62" t="s">
        <v>114</v>
      </c>
      <c r="C332" s="62"/>
      <c r="D332" s="63">
        <f>D362+D380</f>
        <v>-1307079</v>
      </c>
      <c r="E332" s="63">
        <f t="shared" ref="E332:F332" si="141">E362+E380</f>
        <v>-2965493.53</v>
      </c>
      <c r="F332" s="63">
        <f t="shared" si="141"/>
        <v>-2243052.81</v>
      </c>
      <c r="G332" s="63">
        <f t="shared" si="138"/>
        <v>722440.71999999974</v>
      </c>
    </row>
    <row r="333" spans="1:9" x14ac:dyDescent="0.35">
      <c r="A333" s="62"/>
      <c r="B333" s="62" t="s">
        <v>115</v>
      </c>
      <c r="C333" s="62"/>
      <c r="D333" s="63">
        <f>D367+D384+D347</f>
        <v>-2658877</v>
      </c>
      <c r="E333" s="63">
        <f t="shared" ref="E333:F333" si="142">E367+E384+E347</f>
        <v>-2658877</v>
      </c>
      <c r="F333" s="63">
        <f t="shared" si="142"/>
        <v>-2640256.0900000003</v>
      </c>
      <c r="G333" s="63">
        <f t="shared" si="138"/>
        <v>18620.909999999683</v>
      </c>
    </row>
    <row r="334" spans="1:9" x14ac:dyDescent="0.35">
      <c r="A334" s="60"/>
      <c r="B334" s="60" t="s">
        <v>123</v>
      </c>
      <c r="C334" s="60"/>
      <c r="D334" s="64">
        <f>SUM(D335:D339)</f>
        <v>-11043505</v>
      </c>
      <c r="E334" s="64">
        <f t="shared" ref="E334:F334" si="143">SUM(E335:E339)</f>
        <v>-10128299.449999999</v>
      </c>
      <c r="F334" s="64">
        <f t="shared" si="143"/>
        <v>-9972395.8499999996</v>
      </c>
      <c r="G334" s="64">
        <f>F334-E334</f>
        <v>155903.59999999963</v>
      </c>
    </row>
    <row r="335" spans="1:9" x14ac:dyDescent="0.35">
      <c r="A335" s="62"/>
      <c r="B335" s="62"/>
      <c r="C335" s="62" t="s">
        <v>62</v>
      </c>
      <c r="D335" s="63">
        <f>D341+D346</f>
        <v>-3130988</v>
      </c>
      <c r="E335" s="63">
        <f t="shared" ref="E335:F335" si="144">E341+E346</f>
        <v>-2792182.16</v>
      </c>
      <c r="F335" s="63">
        <f t="shared" si="144"/>
        <v>-2686789.74</v>
      </c>
      <c r="G335" s="63">
        <f t="shared" ref="G335:G339" si="145">F335-E335</f>
        <v>105392.41999999993</v>
      </c>
    </row>
    <row r="336" spans="1:9" x14ac:dyDescent="0.35">
      <c r="A336" s="62"/>
      <c r="B336" s="62"/>
      <c r="C336" s="62" t="s">
        <v>63</v>
      </c>
      <c r="D336" s="63">
        <f>D342</f>
        <v>-1337986</v>
      </c>
      <c r="E336" s="63">
        <f t="shared" ref="E336:F336" si="146">E342</f>
        <v>-716267.29</v>
      </c>
      <c r="F336" s="63">
        <f t="shared" si="146"/>
        <v>-707466.88</v>
      </c>
      <c r="G336" s="63">
        <f t="shared" si="145"/>
        <v>8800.4100000000326</v>
      </c>
    </row>
    <row r="337" spans="1:9" x14ac:dyDescent="0.35">
      <c r="A337" s="62"/>
      <c r="B337" s="62"/>
      <c r="C337" s="62" t="s">
        <v>117</v>
      </c>
      <c r="D337" s="63">
        <f>D343</f>
        <v>0</v>
      </c>
      <c r="E337" s="63">
        <f t="shared" ref="E337:F337" si="147">E343</f>
        <v>-82000</v>
      </c>
      <c r="F337" s="63">
        <f t="shared" si="147"/>
        <v>-45634.21</v>
      </c>
      <c r="G337" s="63">
        <f t="shared" si="145"/>
        <v>36365.79</v>
      </c>
    </row>
    <row r="338" spans="1:9" x14ac:dyDescent="0.35">
      <c r="A338" s="62"/>
      <c r="B338" s="62"/>
      <c r="C338" s="62" t="s">
        <v>107</v>
      </c>
      <c r="D338" s="63">
        <f>D344</f>
        <v>-6574531</v>
      </c>
      <c r="E338" s="63">
        <f t="shared" ref="E338:F338" si="148">E344</f>
        <v>-6537850</v>
      </c>
      <c r="F338" s="63">
        <f t="shared" si="148"/>
        <v>-6529115.4800000004</v>
      </c>
      <c r="G338" s="63">
        <f t="shared" si="145"/>
        <v>8734.519999999553</v>
      </c>
    </row>
    <row r="339" spans="1:9" x14ac:dyDescent="0.35">
      <c r="A339" s="62"/>
      <c r="B339" s="62"/>
      <c r="C339" s="62" t="s">
        <v>108</v>
      </c>
      <c r="D339" s="63">
        <f>D347</f>
        <v>0</v>
      </c>
      <c r="E339" s="63">
        <f t="shared" ref="E339:F339" si="149">E347</f>
        <v>0</v>
      </c>
      <c r="F339" s="63">
        <f t="shared" si="149"/>
        <v>-3389.54</v>
      </c>
      <c r="G339" s="63">
        <f t="shared" si="145"/>
        <v>-3389.54</v>
      </c>
    </row>
    <row r="340" spans="1:9" x14ac:dyDescent="0.35">
      <c r="A340" s="60"/>
      <c r="B340" s="60"/>
      <c r="C340" s="60" t="s">
        <v>111</v>
      </c>
      <c r="D340" s="64">
        <f>SUM(D341:D344)</f>
        <v>-11043505</v>
      </c>
      <c r="E340" s="64">
        <f>SUM(E341:E344)</f>
        <v>-10092337.310000001</v>
      </c>
      <c r="F340" s="64">
        <f>SUM(F341:F344)</f>
        <v>-9918933.1900000013</v>
      </c>
      <c r="G340" s="64">
        <f>F340-E340</f>
        <v>173404.11999999918</v>
      </c>
    </row>
    <row r="341" spans="1:9" x14ac:dyDescent="0.35">
      <c r="A341" s="62"/>
      <c r="B341" s="62"/>
      <c r="C341" s="62" t="s">
        <v>62</v>
      </c>
      <c r="D341" s="63">
        <v>-3130988</v>
      </c>
      <c r="E341" s="63">
        <v>-2756220.02</v>
      </c>
      <c r="F341" s="63">
        <v>-2636716.62</v>
      </c>
      <c r="G341" s="63">
        <f t="shared" ref="G341:G344" si="150">F341-E341</f>
        <v>119503.39999999991</v>
      </c>
    </row>
    <row r="342" spans="1:9" x14ac:dyDescent="0.35">
      <c r="A342" s="62"/>
      <c r="B342" s="62"/>
      <c r="C342" s="62" t="s">
        <v>63</v>
      </c>
      <c r="D342" s="63">
        <v>-1337986</v>
      </c>
      <c r="E342" s="63">
        <v>-716267.29</v>
      </c>
      <c r="F342" s="63">
        <v>-707466.88</v>
      </c>
      <c r="G342" s="63">
        <f t="shared" si="150"/>
        <v>8800.4100000000326</v>
      </c>
    </row>
    <row r="343" spans="1:9" x14ac:dyDescent="0.35">
      <c r="A343" s="62"/>
      <c r="B343" s="62"/>
      <c r="C343" s="62" t="s">
        <v>117</v>
      </c>
      <c r="D343" s="63">
        <v>0</v>
      </c>
      <c r="E343" s="63">
        <v>-82000</v>
      </c>
      <c r="F343" s="63">
        <v>-45634.21</v>
      </c>
      <c r="G343" s="63">
        <f t="shared" si="150"/>
        <v>36365.79</v>
      </c>
    </row>
    <row r="344" spans="1:9" x14ac:dyDescent="0.35">
      <c r="A344" s="62"/>
      <c r="B344" s="62"/>
      <c r="C344" s="62" t="s">
        <v>107</v>
      </c>
      <c r="D344" s="63">
        <v>-6574531</v>
      </c>
      <c r="E344" s="63">
        <v>-6537850</v>
      </c>
      <c r="F344" s="63">
        <v>-6529115.4800000004</v>
      </c>
      <c r="G344" s="63">
        <f t="shared" si="150"/>
        <v>8734.519999999553</v>
      </c>
    </row>
    <row r="345" spans="1:9" s="65" customFormat="1" x14ac:dyDescent="0.35">
      <c r="A345" s="60"/>
      <c r="B345" s="60"/>
      <c r="C345" s="60" t="s">
        <v>112</v>
      </c>
      <c r="D345" s="64">
        <f>D346</f>
        <v>0</v>
      </c>
      <c r="E345" s="64">
        <f t="shared" ref="E345:F345" si="151">E346</f>
        <v>-35962.14</v>
      </c>
      <c r="F345" s="64">
        <f t="shared" si="151"/>
        <v>-50073.120000000003</v>
      </c>
      <c r="G345" s="64">
        <f t="shared" ref="G345:G353" si="152">F345-E345</f>
        <v>-14110.980000000003</v>
      </c>
      <c r="H345" s="79"/>
      <c r="I345" s="79"/>
    </row>
    <row r="346" spans="1:9" x14ac:dyDescent="0.35">
      <c r="A346" s="62"/>
      <c r="B346" s="62"/>
      <c r="C346" s="62" t="s">
        <v>62</v>
      </c>
      <c r="D346" s="63">
        <v>0</v>
      </c>
      <c r="E346" s="63">
        <v>-35962.14</v>
      </c>
      <c r="F346" s="63">
        <v>-50073.120000000003</v>
      </c>
      <c r="G346" s="63">
        <f t="shared" si="152"/>
        <v>-14110.980000000003</v>
      </c>
    </row>
    <row r="347" spans="1:9" s="65" customFormat="1" x14ac:dyDescent="0.35">
      <c r="A347" s="60"/>
      <c r="B347" s="60"/>
      <c r="C347" s="60" t="s">
        <v>116</v>
      </c>
      <c r="D347" s="64">
        <v>0</v>
      </c>
      <c r="E347" s="64">
        <v>0</v>
      </c>
      <c r="F347" s="64">
        <v>-3389.54</v>
      </c>
      <c r="G347" s="64">
        <f t="shared" si="152"/>
        <v>-3389.54</v>
      </c>
      <c r="H347" s="79"/>
      <c r="I347" s="79"/>
    </row>
    <row r="348" spans="1:9" ht="14.25" customHeight="1" x14ac:dyDescent="0.35">
      <c r="A348" s="60"/>
      <c r="B348" s="60" t="s">
        <v>124</v>
      </c>
      <c r="C348" s="60"/>
      <c r="D348" s="64">
        <f>SUM(D349:D353)</f>
        <v>-9875504</v>
      </c>
      <c r="E348" s="64">
        <f t="shared" ref="E348:F348" si="153">SUM(E349:E353)</f>
        <v>-13751899.6</v>
      </c>
      <c r="F348" s="64">
        <f t="shared" si="153"/>
        <v>-12603200.52</v>
      </c>
      <c r="G348" s="64">
        <f>F348-E348</f>
        <v>1148699.08</v>
      </c>
    </row>
    <row r="349" spans="1:9" ht="14.25" customHeight="1" x14ac:dyDescent="0.35">
      <c r="A349" s="62"/>
      <c r="B349" s="62"/>
      <c r="C349" s="62" t="s">
        <v>153</v>
      </c>
      <c r="D349" s="63">
        <v>0</v>
      </c>
      <c r="E349" s="63">
        <f>E363+E360</f>
        <v>-2488563.3199999998</v>
      </c>
      <c r="F349" s="63">
        <v>0</v>
      </c>
      <c r="G349" s="63">
        <f t="shared" si="152"/>
        <v>2488563.3199999998</v>
      </c>
    </row>
    <row r="350" spans="1:9" x14ac:dyDescent="0.35">
      <c r="A350" s="62"/>
      <c r="B350" s="62"/>
      <c r="C350" s="62" t="s">
        <v>62</v>
      </c>
      <c r="D350" s="63">
        <f>D355+D364+D361</f>
        <v>-6588088</v>
      </c>
      <c r="E350" s="63">
        <f t="shared" ref="E350:F350" si="154">E355+E364+E361</f>
        <v>-7685015.54</v>
      </c>
      <c r="F350" s="63">
        <f t="shared" si="154"/>
        <v>-8853517.4100000001</v>
      </c>
      <c r="G350" s="63">
        <f t="shared" si="152"/>
        <v>-1168501.8700000001</v>
      </c>
    </row>
    <row r="351" spans="1:9" x14ac:dyDescent="0.35">
      <c r="A351" s="62"/>
      <c r="B351" s="62"/>
      <c r="C351" s="62" t="s">
        <v>63</v>
      </c>
      <c r="D351" s="63">
        <f>D356+D365</f>
        <v>-654039</v>
      </c>
      <c r="E351" s="63">
        <f t="shared" ref="E351:F351" si="155">E356+E365</f>
        <v>-956943.74</v>
      </c>
      <c r="F351" s="63">
        <f t="shared" si="155"/>
        <v>-1140719.24</v>
      </c>
      <c r="G351" s="63">
        <f t="shared" si="152"/>
        <v>-183775.5</v>
      </c>
    </row>
    <row r="352" spans="1:9" x14ac:dyDescent="0.35">
      <c r="A352" s="62"/>
      <c r="B352" s="62"/>
      <c r="C352" s="62" t="s">
        <v>107</v>
      </c>
      <c r="D352" s="63">
        <f>D366</f>
        <v>-12000</v>
      </c>
      <c r="E352" s="63">
        <f t="shared" ref="E352:F352" si="156">E366</f>
        <v>0</v>
      </c>
      <c r="F352" s="63">
        <f t="shared" si="156"/>
        <v>-13000</v>
      </c>
      <c r="G352" s="63">
        <f t="shared" si="152"/>
        <v>-13000</v>
      </c>
    </row>
    <row r="353" spans="1:9" x14ac:dyDescent="0.35">
      <c r="A353" s="62"/>
      <c r="B353" s="62"/>
      <c r="C353" s="62" t="s">
        <v>108</v>
      </c>
      <c r="D353" s="63">
        <f>D367+D358</f>
        <v>-2621377</v>
      </c>
      <c r="E353" s="63">
        <f t="shared" ref="E353:F353" si="157">E367+E358</f>
        <v>-2621377</v>
      </c>
      <c r="F353" s="63">
        <f t="shared" si="157"/>
        <v>-2595963.87</v>
      </c>
      <c r="G353" s="63">
        <f t="shared" si="152"/>
        <v>25413.129999999888</v>
      </c>
    </row>
    <row r="354" spans="1:9" x14ac:dyDescent="0.35">
      <c r="A354" s="60"/>
      <c r="B354" s="60"/>
      <c r="C354" s="60" t="s">
        <v>111</v>
      </c>
      <c r="D354" s="64">
        <f>SUM(D355:D356)</f>
        <v>-5947048</v>
      </c>
      <c r="E354" s="64">
        <f>SUM(E355:E356)</f>
        <v>-8641959.2799999993</v>
      </c>
      <c r="F354" s="64">
        <f>SUM(F355:F356)</f>
        <v>-8460196.5</v>
      </c>
      <c r="G354" s="64">
        <f>F354-E354</f>
        <v>181762.77999999933</v>
      </c>
    </row>
    <row r="355" spans="1:9" x14ac:dyDescent="0.35">
      <c r="A355" s="62"/>
      <c r="B355" s="62"/>
      <c r="C355" s="62" t="s">
        <v>62</v>
      </c>
      <c r="D355" s="63">
        <v>-5293009</v>
      </c>
      <c r="E355" s="63">
        <v>-7685015.54</v>
      </c>
      <c r="F355" s="63">
        <v>-7543753.6299999999</v>
      </c>
      <c r="G355" s="63">
        <f t="shared" ref="G355:G384" si="158">F355-E355</f>
        <v>141261.91000000015</v>
      </c>
    </row>
    <row r="356" spans="1:9" x14ac:dyDescent="0.35">
      <c r="A356" s="62"/>
      <c r="B356" s="62"/>
      <c r="C356" s="62" t="s">
        <v>63</v>
      </c>
      <c r="D356" s="63">
        <v>-654039</v>
      </c>
      <c r="E356" s="63">
        <f>-955842.15-1101.59</f>
        <v>-956943.74</v>
      </c>
      <c r="F356" s="63">
        <v>-916442.87</v>
      </c>
      <c r="G356" s="63">
        <f t="shared" si="158"/>
        <v>40500.869999999995</v>
      </c>
    </row>
    <row r="357" spans="1:9" s="65" customFormat="1" x14ac:dyDescent="0.35">
      <c r="A357" s="60"/>
      <c r="B357" s="60"/>
      <c r="C357" s="60" t="s">
        <v>112</v>
      </c>
      <c r="D357" s="64">
        <f>D358</f>
        <v>0</v>
      </c>
      <c r="E357" s="64">
        <f t="shared" ref="E357" si="159">E358</f>
        <v>0</v>
      </c>
      <c r="F357" s="64">
        <f t="shared" ref="F357" si="160">F358</f>
        <v>6.06</v>
      </c>
      <c r="G357" s="64">
        <f t="shared" si="158"/>
        <v>6.06</v>
      </c>
      <c r="H357" s="68"/>
      <c r="I357" s="68"/>
    </row>
    <row r="358" spans="1:9" x14ac:dyDescent="0.35">
      <c r="A358" s="62"/>
      <c r="B358" s="62"/>
      <c r="C358" s="62" t="s">
        <v>64</v>
      </c>
      <c r="D358" s="63">
        <v>0</v>
      </c>
      <c r="E358" s="63">
        <v>0</v>
      </c>
      <c r="F358" s="63">
        <v>6.06</v>
      </c>
      <c r="G358" s="63">
        <f t="shared" si="158"/>
        <v>6.06</v>
      </c>
    </row>
    <row r="359" spans="1:9" s="65" customFormat="1" x14ac:dyDescent="0.35">
      <c r="A359" s="60"/>
      <c r="B359" s="60"/>
      <c r="C359" s="60" t="s">
        <v>113</v>
      </c>
      <c r="D359" s="64">
        <f>SUM(D360:D361)</f>
        <v>0</v>
      </c>
      <c r="E359" s="64">
        <f t="shared" ref="E359:F359" si="161">SUM(E360:E361)</f>
        <v>-321986.56</v>
      </c>
      <c r="F359" s="64">
        <f t="shared" si="161"/>
        <v>-100227.76</v>
      </c>
      <c r="G359" s="64">
        <f>F359-E359</f>
        <v>221758.8</v>
      </c>
      <c r="H359" s="79"/>
      <c r="I359" s="79"/>
    </row>
    <row r="360" spans="1:9" x14ac:dyDescent="0.35">
      <c r="A360" s="62"/>
      <c r="B360" s="62"/>
      <c r="C360" s="62" t="s">
        <v>153</v>
      </c>
      <c r="D360" s="63">
        <v>0</v>
      </c>
      <c r="E360" s="63">
        <v>-321986.56</v>
      </c>
      <c r="F360" s="63">
        <v>0</v>
      </c>
      <c r="G360" s="63">
        <f t="shared" si="158"/>
        <v>321986.56</v>
      </c>
    </row>
    <row r="361" spans="1:9" x14ac:dyDescent="0.35">
      <c r="A361" s="62"/>
      <c r="B361" s="62"/>
      <c r="C361" s="62" t="s">
        <v>62</v>
      </c>
      <c r="D361" s="63">
        <v>0</v>
      </c>
      <c r="E361" s="63"/>
      <c r="F361" s="63">
        <v>-100227.76</v>
      </c>
      <c r="G361" s="63">
        <f t="shared" si="158"/>
        <v>-100227.76</v>
      </c>
    </row>
    <row r="362" spans="1:9" s="65" customFormat="1" x14ac:dyDescent="0.35">
      <c r="A362" s="60"/>
      <c r="B362" s="60"/>
      <c r="C362" s="60" t="s">
        <v>114</v>
      </c>
      <c r="D362" s="64">
        <f>SUM(D363:D366)</f>
        <v>-1307079</v>
      </c>
      <c r="E362" s="64">
        <f t="shared" ref="E362:F362" si="162">SUM(E363:E366)</f>
        <v>-2166576.7599999998</v>
      </c>
      <c r="F362" s="64">
        <f t="shared" si="162"/>
        <v>-1446812.3900000001</v>
      </c>
      <c r="G362" s="64">
        <f t="shared" si="158"/>
        <v>719764.36999999965</v>
      </c>
      <c r="H362" s="68"/>
      <c r="I362" s="68"/>
    </row>
    <row r="363" spans="1:9" x14ac:dyDescent="0.35">
      <c r="A363" s="62"/>
      <c r="B363" s="62"/>
      <c r="C363" s="62" t="s">
        <v>153</v>
      </c>
      <c r="D363" s="63">
        <v>0</v>
      </c>
      <c r="E363" s="63">
        <v>-2166576.7599999998</v>
      </c>
      <c r="F363" s="63">
        <v>0</v>
      </c>
      <c r="G363" s="63">
        <f t="shared" si="158"/>
        <v>2166576.7599999998</v>
      </c>
    </row>
    <row r="364" spans="1:9" x14ac:dyDescent="0.35">
      <c r="A364" s="62"/>
      <c r="B364" s="62"/>
      <c r="C364" s="62" t="s">
        <v>62</v>
      </c>
      <c r="D364" s="63">
        <v>-1295079</v>
      </c>
      <c r="E364" s="63">
        <v>0</v>
      </c>
      <c r="F364" s="63">
        <v>-1209536.02</v>
      </c>
      <c r="G364" s="63">
        <f t="shared" si="158"/>
        <v>-1209536.02</v>
      </c>
    </row>
    <row r="365" spans="1:9" x14ac:dyDescent="0.35">
      <c r="A365" s="62"/>
      <c r="B365" s="62"/>
      <c r="C365" s="62" t="s">
        <v>63</v>
      </c>
      <c r="D365" s="63">
        <v>0</v>
      </c>
      <c r="E365" s="63">
        <v>0</v>
      </c>
      <c r="F365" s="63">
        <v>-224276.37</v>
      </c>
      <c r="G365" s="63">
        <f t="shared" si="158"/>
        <v>-224276.37</v>
      </c>
    </row>
    <row r="366" spans="1:9" x14ac:dyDescent="0.35">
      <c r="A366" s="62"/>
      <c r="B366" s="62"/>
      <c r="C366" s="62" t="s">
        <v>107</v>
      </c>
      <c r="D366" s="63">
        <v>-12000</v>
      </c>
      <c r="E366" s="63">
        <v>0</v>
      </c>
      <c r="F366" s="63">
        <v>-13000</v>
      </c>
      <c r="G366" s="63">
        <f t="shared" si="158"/>
        <v>-13000</v>
      </c>
    </row>
    <row r="367" spans="1:9" s="65" customFormat="1" x14ac:dyDescent="0.35">
      <c r="A367" s="60"/>
      <c r="B367" s="60"/>
      <c r="C367" s="60" t="s">
        <v>116</v>
      </c>
      <c r="D367" s="64">
        <v>-2621377</v>
      </c>
      <c r="E367" s="64">
        <f t="shared" ref="E367" si="163">D367</f>
        <v>-2621377</v>
      </c>
      <c r="F367" s="64">
        <v>-2595969.9300000002</v>
      </c>
      <c r="G367" s="64">
        <f t="shared" si="158"/>
        <v>25407.069999999832</v>
      </c>
      <c r="H367" s="68"/>
      <c r="I367" s="68"/>
    </row>
    <row r="368" spans="1:9" x14ac:dyDescent="0.35">
      <c r="A368" s="60"/>
      <c r="B368" s="60" t="s">
        <v>156</v>
      </c>
      <c r="C368" s="60"/>
      <c r="D368" s="64">
        <f>SUM(D369:D372)</f>
        <v>-55099819</v>
      </c>
      <c r="E368" s="64">
        <f t="shared" ref="E368:F368" si="164">SUM(E369:E372)</f>
        <v>-57119937</v>
      </c>
      <c r="F368" s="64">
        <f t="shared" si="164"/>
        <v>-54622132.479999997</v>
      </c>
      <c r="G368" s="64">
        <f t="shared" si="158"/>
        <v>2497804.5200000033</v>
      </c>
      <c r="H368" s="80"/>
      <c r="I368" s="80"/>
    </row>
    <row r="369" spans="1:9" x14ac:dyDescent="0.35">
      <c r="A369" s="62"/>
      <c r="B369" s="62"/>
      <c r="C369" s="62" t="s">
        <v>153</v>
      </c>
      <c r="D369" s="63">
        <f>D381</f>
        <v>0</v>
      </c>
      <c r="E369" s="63">
        <f t="shared" ref="E369:F369" si="165">E381</f>
        <v>-798916.77</v>
      </c>
      <c r="F369" s="63">
        <f t="shared" si="165"/>
        <v>0</v>
      </c>
      <c r="G369" s="63">
        <f t="shared" si="158"/>
        <v>798916.77</v>
      </c>
    </row>
    <row r="370" spans="1:9" x14ac:dyDescent="0.35">
      <c r="A370" s="62"/>
      <c r="B370" s="62"/>
      <c r="C370" s="62" t="s">
        <v>62</v>
      </c>
      <c r="D370" s="63">
        <f>D374+D378+D382</f>
        <v>-46280764</v>
      </c>
      <c r="E370" s="63">
        <f t="shared" ref="E370:F370" si="166">E374+E378+E382</f>
        <v>-46960554.629999995</v>
      </c>
      <c r="F370" s="63">
        <f t="shared" si="166"/>
        <v>-45009494.059999995</v>
      </c>
      <c r="G370" s="63">
        <f t="shared" si="158"/>
        <v>1951060.5700000003</v>
      </c>
    </row>
    <row r="371" spans="1:9" x14ac:dyDescent="0.35">
      <c r="A371" s="62"/>
      <c r="B371" s="62"/>
      <c r="C371" s="62" t="s">
        <v>63</v>
      </c>
      <c r="D371" s="63">
        <f>D375+D379+D383</f>
        <v>-8781555</v>
      </c>
      <c r="E371" s="63">
        <f t="shared" ref="E371:F371" si="167">E375+E379+E383</f>
        <v>-9319093.5999999996</v>
      </c>
      <c r="F371" s="63">
        <f t="shared" si="167"/>
        <v>-9566713.3200000003</v>
      </c>
      <c r="G371" s="63">
        <f t="shared" si="158"/>
        <v>-247619.72000000067</v>
      </c>
    </row>
    <row r="372" spans="1:9" x14ac:dyDescent="0.35">
      <c r="A372" s="62"/>
      <c r="B372" s="62"/>
      <c r="C372" s="62" t="s">
        <v>108</v>
      </c>
      <c r="D372" s="63">
        <f>D384+D376</f>
        <v>-37500</v>
      </c>
      <c r="E372" s="63">
        <f t="shared" ref="E372:F372" si="168">E384+E376</f>
        <v>-41372</v>
      </c>
      <c r="F372" s="63">
        <f t="shared" si="168"/>
        <v>-45925.100000000006</v>
      </c>
      <c r="G372" s="63">
        <f t="shared" si="158"/>
        <v>-4553.1000000000058</v>
      </c>
    </row>
    <row r="373" spans="1:9" s="65" customFormat="1" x14ac:dyDescent="0.35">
      <c r="A373" s="60"/>
      <c r="B373" s="60"/>
      <c r="C373" s="60" t="s">
        <v>111</v>
      </c>
      <c r="D373" s="64">
        <f>SUM(D374:D376)</f>
        <v>-29525564</v>
      </c>
      <c r="E373" s="64">
        <f t="shared" ref="E373:F373" si="169">SUM(E374:E376)</f>
        <v>-30875570.299999997</v>
      </c>
      <c r="F373" s="64">
        <f t="shared" si="169"/>
        <v>-29904064.59</v>
      </c>
      <c r="G373" s="64">
        <f t="shared" si="158"/>
        <v>971505.70999999717</v>
      </c>
      <c r="H373" s="68"/>
      <c r="I373" s="68"/>
    </row>
    <row r="374" spans="1:9" x14ac:dyDescent="0.35">
      <c r="A374" s="62"/>
      <c r="B374" s="62"/>
      <c r="C374" s="62" t="s">
        <v>62</v>
      </c>
      <c r="D374" s="63">
        <v>-23298618</v>
      </c>
      <c r="E374" s="63">
        <v>-24107213.699999999</v>
      </c>
      <c r="F374" s="63">
        <v>-23660565.739999998</v>
      </c>
      <c r="G374" s="63">
        <f t="shared" si="158"/>
        <v>446647.96000000089</v>
      </c>
      <c r="H374" s="80"/>
    </row>
    <row r="375" spans="1:9" x14ac:dyDescent="0.35">
      <c r="A375" s="60"/>
      <c r="B375" s="60"/>
      <c r="C375" s="62" t="s">
        <v>63</v>
      </c>
      <c r="D375" s="63">
        <v>-6226946</v>
      </c>
      <c r="E375" s="63">
        <v>-6764484.5999999996</v>
      </c>
      <c r="F375" s="64">
        <v>-6238470.3700000001</v>
      </c>
      <c r="G375" s="63">
        <f t="shared" si="158"/>
        <v>526014.22999999952</v>
      </c>
      <c r="H375" s="80"/>
    </row>
    <row r="376" spans="1:9" x14ac:dyDescent="0.35">
      <c r="A376" s="62"/>
      <c r="B376" s="62"/>
      <c r="C376" s="62" t="s">
        <v>64</v>
      </c>
      <c r="D376" s="63">
        <v>0</v>
      </c>
      <c r="E376" s="63">
        <v>-3872</v>
      </c>
      <c r="F376" s="63">
        <v>-5028.4799999999996</v>
      </c>
      <c r="G376" s="63">
        <f t="shared" si="158"/>
        <v>-1156.4799999999996</v>
      </c>
      <c r="H376" s="80"/>
    </row>
    <row r="377" spans="1:9" s="65" customFormat="1" x14ac:dyDescent="0.35">
      <c r="A377" s="60"/>
      <c r="B377" s="60"/>
      <c r="C377" s="60" t="s">
        <v>112</v>
      </c>
      <c r="D377" s="64">
        <f>SUM(D378:D379)</f>
        <v>-25536755</v>
      </c>
      <c r="E377" s="64">
        <f t="shared" ref="E377" si="170">SUM(E378:E379)</f>
        <v>-25407949.93</v>
      </c>
      <c r="F377" s="64">
        <f t="shared" ref="F377" si="171">SUM(F378:F379)</f>
        <v>-23880930.849999998</v>
      </c>
      <c r="G377" s="64">
        <f t="shared" si="158"/>
        <v>1527019.0800000019</v>
      </c>
      <c r="H377" s="80"/>
      <c r="I377" s="68"/>
    </row>
    <row r="378" spans="1:9" x14ac:dyDescent="0.35">
      <c r="A378" s="62"/>
      <c r="B378" s="62"/>
      <c r="C378" s="62" t="s">
        <v>62</v>
      </c>
      <c r="D378" s="63">
        <v>-22982146</v>
      </c>
      <c r="E378" s="63">
        <v>-22853340.93</v>
      </c>
      <c r="F378" s="63">
        <f>-21920989.7+577474</f>
        <v>-21343515.699999999</v>
      </c>
      <c r="G378" s="63">
        <f t="shared" si="158"/>
        <v>1509825.2300000004</v>
      </c>
      <c r="H378" s="80"/>
      <c r="I378" s="80"/>
    </row>
    <row r="379" spans="1:9" x14ac:dyDescent="0.35">
      <c r="A379" s="62"/>
      <c r="B379" s="62"/>
      <c r="C379" s="62" t="s">
        <v>63</v>
      </c>
      <c r="D379" s="63">
        <v>-2554609</v>
      </c>
      <c r="E379" s="63">
        <f t="shared" ref="E379:E384" si="172">D379</f>
        <v>-2554609</v>
      </c>
      <c r="F379" s="63">
        <v>-2537415.15</v>
      </c>
      <c r="G379" s="63">
        <f t="shared" si="158"/>
        <v>17193.850000000093</v>
      </c>
      <c r="H379" s="80"/>
    </row>
    <row r="380" spans="1:9" s="65" customFormat="1" x14ac:dyDescent="0.35">
      <c r="A380" s="60"/>
      <c r="B380" s="60"/>
      <c r="C380" s="60" t="s">
        <v>114</v>
      </c>
      <c r="D380" s="64">
        <f>SUM(D381:D383)</f>
        <v>0</v>
      </c>
      <c r="E380" s="64">
        <f t="shared" ref="E380:F380" si="173">SUM(E381:E383)</f>
        <v>-798916.77</v>
      </c>
      <c r="F380" s="64">
        <f t="shared" si="173"/>
        <v>-796240.42</v>
      </c>
      <c r="G380" s="64">
        <f t="shared" si="158"/>
        <v>2676.3499999999767</v>
      </c>
      <c r="H380" s="75"/>
      <c r="I380" s="79"/>
    </row>
    <row r="381" spans="1:9" x14ac:dyDescent="0.35">
      <c r="A381" s="62"/>
      <c r="B381" s="62"/>
      <c r="C381" s="62" t="s">
        <v>153</v>
      </c>
      <c r="D381" s="63">
        <v>0</v>
      </c>
      <c r="E381" s="63">
        <v>-798916.77</v>
      </c>
      <c r="F381" s="63">
        <v>0</v>
      </c>
      <c r="G381" s="63">
        <f t="shared" si="158"/>
        <v>798916.77</v>
      </c>
      <c r="H381" s="80"/>
    </row>
    <row r="382" spans="1:9" x14ac:dyDescent="0.35">
      <c r="A382" s="62"/>
      <c r="B382" s="62"/>
      <c r="C382" s="62" t="s">
        <v>62</v>
      </c>
      <c r="D382" s="63">
        <v>0</v>
      </c>
      <c r="E382" s="63">
        <v>0</v>
      </c>
      <c r="F382" s="63">
        <v>-5412.62</v>
      </c>
      <c r="G382" s="63">
        <f t="shared" si="158"/>
        <v>-5412.62</v>
      </c>
    </row>
    <row r="383" spans="1:9" x14ac:dyDescent="0.35">
      <c r="A383" s="62"/>
      <c r="B383" s="62"/>
      <c r="C383" s="62" t="s">
        <v>63</v>
      </c>
      <c r="D383" s="63">
        <v>0</v>
      </c>
      <c r="E383" s="63">
        <v>0</v>
      </c>
      <c r="F383" s="63">
        <v>-790827.8</v>
      </c>
      <c r="G383" s="63">
        <f t="shared" si="158"/>
        <v>-790827.8</v>
      </c>
    </row>
    <row r="384" spans="1:9" s="65" customFormat="1" x14ac:dyDescent="0.35">
      <c r="A384" s="60"/>
      <c r="B384" s="60"/>
      <c r="C384" s="60" t="s">
        <v>116</v>
      </c>
      <c r="D384" s="64">
        <v>-37500</v>
      </c>
      <c r="E384" s="64">
        <f t="shared" si="172"/>
        <v>-37500</v>
      </c>
      <c r="F384" s="64">
        <v>-40896.620000000003</v>
      </c>
      <c r="G384" s="64">
        <f t="shared" si="158"/>
        <v>-3396.6200000000026</v>
      </c>
      <c r="H384" s="68"/>
      <c r="I384" s="68"/>
    </row>
    <row r="385" spans="1:9" ht="14.25" customHeight="1" x14ac:dyDescent="0.35">
      <c r="A385" s="60"/>
      <c r="B385" s="60" t="s">
        <v>128</v>
      </c>
      <c r="C385" s="60"/>
      <c r="D385" s="64">
        <f>SUM(D386:D388)</f>
        <v>-407230</v>
      </c>
      <c r="E385" s="64">
        <f t="shared" ref="E385:F385" si="174">SUM(E386:E388)</f>
        <v>-437962.39999999997</v>
      </c>
      <c r="F385" s="64">
        <f t="shared" si="174"/>
        <v>-338667.26</v>
      </c>
      <c r="G385" s="64">
        <f>F385-E385</f>
        <v>99295.139999999956</v>
      </c>
    </row>
    <row r="386" spans="1:9" x14ac:dyDescent="0.35">
      <c r="A386" s="62"/>
      <c r="B386" s="62"/>
      <c r="C386" s="62" t="s">
        <v>62</v>
      </c>
      <c r="D386" s="63">
        <f>D390</f>
        <v>-253629</v>
      </c>
      <c r="E386" s="63">
        <f t="shared" ref="E386:F386" si="175">E390</f>
        <v>-311371.78999999998</v>
      </c>
      <c r="F386" s="63">
        <f t="shared" si="175"/>
        <v>-274821.83</v>
      </c>
      <c r="G386" s="63">
        <f t="shared" ref="G386:G388" si="176">F386-E386</f>
        <v>36549.959999999963</v>
      </c>
    </row>
    <row r="387" spans="1:9" x14ac:dyDescent="0.35">
      <c r="A387" s="62"/>
      <c r="B387" s="62"/>
      <c r="C387" s="62" t="s">
        <v>63</v>
      </c>
      <c r="D387" s="63">
        <f>D391</f>
        <v>-153601</v>
      </c>
      <c r="E387" s="63">
        <f t="shared" ref="E387:F387" si="177">E391</f>
        <v>-126590.61</v>
      </c>
      <c r="F387" s="63">
        <f t="shared" si="177"/>
        <v>-63837.79</v>
      </c>
      <c r="G387" s="63">
        <f t="shared" si="176"/>
        <v>62752.82</v>
      </c>
    </row>
    <row r="388" spans="1:9" x14ac:dyDescent="0.35">
      <c r="A388" s="62"/>
      <c r="B388" s="62"/>
      <c r="C388" s="62" t="s">
        <v>64</v>
      </c>
      <c r="D388" s="63">
        <f>D393</f>
        <v>0</v>
      </c>
      <c r="E388" s="63">
        <f t="shared" ref="E388:F388" si="178">E393</f>
        <v>0</v>
      </c>
      <c r="F388" s="63">
        <f t="shared" si="178"/>
        <v>-7.64</v>
      </c>
      <c r="G388" s="63">
        <f t="shared" si="176"/>
        <v>-7.64</v>
      </c>
    </row>
    <row r="389" spans="1:9" x14ac:dyDescent="0.35">
      <c r="A389" s="60"/>
      <c r="B389" s="60"/>
      <c r="C389" s="60" t="s">
        <v>111</v>
      </c>
      <c r="D389" s="64">
        <f>SUM(D390:D391)</f>
        <v>-407230</v>
      </c>
      <c r="E389" s="64">
        <f>SUM(E390:E391)</f>
        <v>-437962.39999999997</v>
      </c>
      <c r="F389" s="64">
        <f>SUM(F390:F391)</f>
        <v>-338659.62</v>
      </c>
      <c r="G389" s="64">
        <f>F389-E389</f>
        <v>99302.77999999997</v>
      </c>
    </row>
    <row r="390" spans="1:9" x14ac:dyDescent="0.35">
      <c r="A390" s="62"/>
      <c r="B390" s="62"/>
      <c r="C390" s="62" t="s">
        <v>62</v>
      </c>
      <c r="D390" s="63">
        <v>-253629</v>
      </c>
      <c r="E390" s="63">
        <v>-311371.78999999998</v>
      </c>
      <c r="F390" s="63">
        <v>-274821.83</v>
      </c>
      <c r="G390" s="63">
        <f t="shared" ref="G390:G393" si="179">F390-E390</f>
        <v>36549.959999999963</v>
      </c>
    </row>
    <row r="391" spans="1:9" x14ac:dyDescent="0.35">
      <c r="A391" s="60"/>
      <c r="B391" s="60"/>
      <c r="C391" s="62" t="s">
        <v>63</v>
      </c>
      <c r="D391" s="63">
        <v>-153601</v>
      </c>
      <c r="E391" s="63">
        <v>-126590.61</v>
      </c>
      <c r="F391" s="63">
        <v>-63837.79</v>
      </c>
      <c r="G391" s="63">
        <f t="shared" si="179"/>
        <v>62752.82</v>
      </c>
    </row>
    <row r="392" spans="1:9" s="65" customFormat="1" x14ac:dyDescent="0.35">
      <c r="A392" s="60"/>
      <c r="B392" s="60"/>
      <c r="C392" s="60" t="s">
        <v>112</v>
      </c>
      <c r="D392" s="64">
        <f>D393</f>
        <v>0</v>
      </c>
      <c r="E392" s="64">
        <f t="shared" ref="E392:F392" si="180">E393</f>
        <v>0</v>
      </c>
      <c r="F392" s="64">
        <f t="shared" si="180"/>
        <v>-7.64</v>
      </c>
      <c r="G392" s="64">
        <f t="shared" si="179"/>
        <v>-7.64</v>
      </c>
      <c r="H392" s="68"/>
      <c r="I392" s="68"/>
    </row>
    <row r="393" spans="1:9" ht="15.75" customHeight="1" x14ac:dyDescent="0.35">
      <c r="A393" s="62"/>
      <c r="B393" s="62"/>
      <c r="C393" s="62" t="s">
        <v>64</v>
      </c>
      <c r="D393" s="63">
        <v>0</v>
      </c>
      <c r="E393" s="63">
        <v>0</v>
      </c>
      <c r="F393" s="63">
        <v>-7.64</v>
      </c>
      <c r="G393" s="63">
        <f t="shared" si="179"/>
        <v>-7.64</v>
      </c>
    </row>
    <row r="394" spans="1:9" ht="15.5" x14ac:dyDescent="0.35">
      <c r="A394" s="78" t="s">
        <v>136</v>
      </c>
      <c r="B394" s="60"/>
      <c r="C394" s="60"/>
      <c r="D394" s="64">
        <f>SUM(D395:D399)</f>
        <v>-1939447</v>
      </c>
      <c r="E394" s="64">
        <f>SUM(E395:E399)</f>
        <v>-3557008</v>
      </c>
      <c r="F394" s="64">
        <f>SUM(F395:F399)</f>
        <v>-2354866</v>
      </c>
      <c r="G394" s="64">
        <f>F394-E394</f>
        <v>1202142</v>
      </c>
    </row>
    <row r="395" spans="1:9" x14ac:dyDescent="0.35">
      <c r="A395" s="62"/>
      <c r="B395" s="62" t="s">
        <v>111</v>
      </c>
      <c r="C395" s="62"/>
      <c r="D395" s="63">
        <f>D405</f>
        <v>-1507665</v>
      </c>
      <c r="E395" s="63">
        <f>E405</f>
        <v>-1715483</v>
      </c>
      <c r="F395" s="63">
        <f>F405</f>
        <v>-1674197</v>
      </c>
      <c r="G395" s="63">
        <f>F395-E395</f>
        <v>41286</v>
      </c>
    </row>
    <row r="396" spans="1:9" x14ac:dyDescent="0.35">
      <c r="A396" s="62"/>
      <c r="B396" s="62" t="s">
        <v>112</v>
      </c>
      <c r="C396" s="62"/>
      <c r="D396" s="63">
        <f>D408</f>
        <v>0</v>
      </c>
      <c r="E396" s="63">
        <f>E408</f>
        <v>0</v>
      </c>
      <c r="F396" s="63">
        <f>F408</f>
        <v>3</v>
      </c>
      <c r="G396" s="63">
        <f>F396-E396</f>
        <v>3</v>
      </c>
    </row>
    <row r="397" spans="1:9" x14ac:dyDescent="0.35">
      <c r="A397" s="62"/>
      <c r="B397" s="62" t="s">
        <v>113</v>
      </c>
      <c r="C397" s="62"/>
      <c r="D397" s="63">
        <f>D410</f>
        <v>0</v>
      </c>
      <c r="E397" s="63">
        <f>E410</f>
        <v>-133676</v>
      </c>
      <c r="F397" s="63">
        <f>F410</f>
        <v>-95145</v>
      </c>
      <c r="G397" s="63">
        <f>F397-E397</f>
        <v>38531</v>
      </c>
    </row>
    <row r="398" spans="1:9" x14ac:dyDescent="0.35">
      <c r="A398" s="62"/>
      <c r="B398" s="62" t="s">
        <v>114</v>
      </c>
      <c r="C398" s="62"/>
      <c r="D398" s="63">
        <f>D414</f>
        <v>-181618</v>
      </c>
      <c r="E398" s="63">
        <f>E414</f>
        <v>-1457685</v>
      </c>
      <c r="F398" s="63">
        <f>F414</f>
        <v>-345175</v>
      </c>
      <c r="G398" s="63">
        <f t="shared" ref="G398:G399" si="181">F398-E398</f>
        <v>1112510</v>
      </c>
    </row>
    <row r="399" spans="1:9" x14ac:dyDescent="0.35">
      <c r="A399" s="62"/>
      <c r="B399" s="62" t="s">
        <v>115</v>
      </c>
      <c r="C399" s="62"/>
      <c r="D399" s="63">
        <f>D418</f>
        <v>-250164</v>
      </c>
      <c r="E399" s="63">
        <f t="shared" ref="E399" si="182">E418</f>
        <v>-250164</v>
      </c>
      <c r="F399" s="63">
        <f>F418</f>
        <v>-240352</v>
      </c>
      <c r="G399" s="63">
        <f t="shared" si="181"/>
        <v>9812</v>
      </c>
    </row>
    <row r="400" spans="1:9" ht="14.25" customHeight="1" x14ac:dyDescent="0.35">
      <c r="A400" s="60"/>
      <c r="B400" s="60" t="s">
        <v>124</v>
      </c>
      <c r="C400" s="60"/>
      <c r="D400" s="64">
        <f>SUM(D402:D404)</f>
        <v>-1939447</v>
      </c>
      <c r="E400" s="64">
        <f>SUM(E401:E404)</f>
        <v>-3557008</v>
      </c>
      <c r="F400" s="64">
        <f>SUM(F402:F404)</f>
        <v>-2354866</v>
      </c>
      <c r="G400" s="64">
        <f>F400-E400</f>
        <v>1202142</v>
      </c>
      <c r="H400" s="80"/>
    </row>
    <row r="401" spans="1:9" ht="14.25" customHeight="1" x14ac:dyDescent="0.35">
      <c r="A401" s="62"/>
      <c r="B401" s="62"/>
      <c r="C401" s="62" t="s">
        <v>153</v>
      </c>
      <c r="D401" s="63">
        <v>0</v>
      </c>
      <c r="E401" s="63">
        <f>E415+E411</f>
        <v>-1591361</v>
      </c>
      <c r="F401" s="63">
        <f>F415</f>
        <v>0</v>
      </c>
      <c r="G401" s="63">
        <f t="shared" ref="G401:G404" si="183">F401-E401</f>
        <v>1591361</v>
      </c>
      <c r="H401" s="80"/>
    </row>
    <row r="402" spans="1:9" x14ac:dyDescent="0.35">
      <c r="A402" s="62"/>
      <c r="B402" s="62"/>
      <c r="C402" s="62" t="s">
        <v>62</v>
      </c>
      <c r="D402" s="63">
        <f>D406+D416</f>
        <v>-1153456</v>
      </c>
      <c r="E402" s="63">
        <f>E406+E416</f>
        <v>-1324122</v>
      </c>
      <c r="F402" s="63">
        <f>F406+F416+F412</f>
        <v>-1735439</v>
      </c>
      <c r="G402" s="63">
        <f t="shared" si="183"/>
        <v>-411317</v>
      </c>
      <c r="H402" s="80"/>
    </row>
    <row r="403" spans="1:9" x14ac:dyDescent="0.35">
      <c r="A403" s="62"/>
      <c r="B403" s="62"/>
      <c r="C403" s="62" t="s">
        <v>63</v>
      </c>
      <c r="D403" s="63">
        <f>D407</f>
        <v>-535827</v>
      </c>
      <c r="E403" s="63">
        <f>E407</f>
        <v>-391361</v>
      </c>
      <c r="F403" s="63">
        <f>F407+F413+F417</f>
        <v>-379078</v>
      </c>
      <c r="G403" s="63">
        <f t="shared" si="183"/>
        <v>12283</v>
      </c>
      <c r="H403" s="80"/>
    </row>
    <row r="404" spans="1:9" x14ac:dyDescent="0.35">
      <c r="A404" s="62"/>
      <c r="B404" s="62"/>
      <c r="C404" s="62" t="s">
        <v>108</v>
      </c>
      <c r="D404" s="63">
        <f>D418</f>
        <v>-250164</v>
      </c>
      <c r="E404" s="63">
        <f t="shared" ref="E404" si="184">E418</f>
        <v>-250164</v>
      </c>
      <c r="F404" s="63">
        <f>F418+F409</f>
        <v>-240349</v>
      </c>
      <c r="G404" s="63">
        <f t="shared" si="183"/>
        <v>9815</v>
      </c>
      <c r="H404" s="80"/>
    </row>
    <row r="405" spans="1:9" x14ac:dyDescent="0.35">
      <c r="A405" s="60"/>
      <c r="B405" s="60"/>
      <c r="C405" s="60" t="s">
        <v>111</v>
      </c>
      <c r="D405" s="64">
        <f>SUM(D406:D407)</f>
        <v>-1507665</v>
      </c>
      <c r="E405" s="64">
        <f>SUM(E406:E407)</f>
        <v>-1715483</v>
      </c>
      <c r="F405" s="64">
        <f>SUM(F406:F407)</f>
        <v>-1674197</v>
      </c>
      <c r="G405" s="64">
        <f>F405-E405</f>
        <v>41286</v>
      </c>
    </row>
    <row r="406" spans="1:9" x14ac:dyDescent="0.35">
      <c r="A406" s="62"/>
      <c r="B406" s="62"/>
      <c r="C406" s="62" t="s">
        <v>62</v>
      </c>
      <c r="D406" s="63">
        <v>-971838</v>
      </c>
      <c r="E406" s="63">
        <f>-1324122</f>
        <v>-1324122</v>
      </c>
      <c r="F406" s="63">
        <f>-1299575</f>
        <v>-1299575</v>
      </c>
      <c r="G406" s="63">
        <f t="shared" ref="G406:G431" si="185">F406-E406</f>
        <v>24547</v>
      </c>
    </row>
    <row r="407" spans="1:9" x14ac:dyDescent="0.35">
      <c r="A407" s="60"/>
      <c r="B407" s="60"/>
      <c r="C407" s="62" t="s">
        <v>63</v>
      </c>
      <c r="D407" s="63">
        <v>-535827</v>
      </c>
      <c r="E407" s="63">
        <v>-391361</v>
      </c>
      <c r="F407" s="63">
        <f>-374622</f>
        <v>-374622</v>
      </c>
      <c r="G407" s="63">
        <f>F407-E407</f>
        <v>16739</v>
      </c>
    </row>
    <row r="408" spans="1:9" x14ac:dyDescent="0.35">
      <c r="A408" s="60"/>
      <c r="B408" s="60"/>
      <c r="C408" s="60" t="s">
        <v>112</v>
      </c>
      <c r="D408" s="64">
        <v>0</v>
      </c>
      <c r="E408" s="64">
        <v>0</v>
      </c>
      <c r="F408" s="64">
        <f>SUM(F409)</f>
        <v>3</v>
      </c>
      <c r="G408" s="64">
        <f>F408-E408</f>
        <v>3</v>
      </c>
    </row>
    <row r="409" spans="1:9" x14ac:dyDescent="0.35">
      <c r="A409" s="60"/>
      <c r="B409" s="60"/>
      <c r="C409" s="62" t="s">
        <v>64</v>
      </c>
      <c r="D409" s="63">
        <v>0</v>
      </c>
      <c r="E409" s="63">
        <v>0</v>
      </c>
      <c r="F409" s="63">
        <v>3</v>
      </c>
      <c r="G409" s="63">
        <f>F409-E409</f>
        <v>3</v>
      </c>
    </row>
    <row r="410" spans="1:9" x14ac:dyDescent="0.35">
      <c r="A410" s="60"/>
      <c r="B410" s="60"/>
      <c r="C410" s="60" t="s">
        <v>113</v>
      </c>
      <c r="D410" s="64">
        <f>SUM(D412:D413)</f>
        <v>0</v>
      </c>
      <c r="E410" s="64">
        <f>SUM(E411:E413)</f>
        <v>-133676</v>
      </c>
      <c r="F410" s="64">
        <f>SUM(F412:F413)</f>
        <v>-95145</v>
      </c>
      <c r="G410" s="64">
        <f>F410-E410</f>
        <v>38531</v>
      </c>
    </row>
    <row r="411" spans="1:9" x14ac:dyDescent="0.35">
      <c r="A411" s="62"/>
      <c r="B411" s="62"/>
      <c r="C411" s="62" t="s">
        <v>153</v>
      </c>
      <c r="D411" s="63">
        <v>0</v>
      </c>
      <c r="E411" s="63">
        <v>-133676</v>
      </c>
      <c r="F411" s="63">
        <v>0</v>
      </c>
      <c r="G411" s="63">
        <f t="shared" ref="G411:G413" si="186">F411-E411</f>
        <v>133676</v>
      </c>
    </row>
    <row r="412" spans="1:9" x14ac:dyDescent="0.35">
      <c r="A412" s="60"/>
      <c r="B412" s="60"/>
      <c r="C412" s="62" t="s">
        <v>62</v>
      </c>
      <c r="D412" s="63">
        <v>0</v>
      </c>
      <c r="E412" s="63">
        <v>0</v>
      </c>
      <c r="F412" s="63">
        <f>-93573</f>
        <v>-93573</v>
      </c>
      <c r="G412" s="63">
        <f t="shared" si="186"/>
        <v>-93573</v>
      </c>
    </row>
    <row r="413" spans="1:9" x14ac:dyDescent="0.35">
      <c r="A413" s="60"/>
      <c r="B413" s="60"/>
      <c r="C413" s="62" t="s">
        <v>63</v>
      </c>
      <c r="D413" s="63">
        <v>0</v>
      </c>
      <c r="E413" s="63">
        <v>0</v>
      </c>
      <c r="F413" s="63">
        <f>-1572</f>
        <v>-1572</v>
      </c>
      <c r="G413" s="63">
        <f t="shared" si="186"/>
        <v>-1572</v>
      </c>
      <c r="H413" s="80"/>
    </row>
    <row r="414" spans="1:9" s="65" customFormat="1" x14ac:dyDescent="0.35">
      <c r="A414" s="60"/>
      <c r="B414" s="60"/>
      <c r="C414" s="60" t="s">
        <v>114</v>
      </c>
      <c r="D414" s="64">
        <f>SUM(D416:D416)</f>
        <v>-181618</v>
      </c>
      <c r="E414" s="64">
        <f>SUM(E415:E417)</f>
        <v>-1457685</v>
      </c>
      <c r="F414" s="64">
        <f>SUM(F416:F417)</f>
        <v>-345175</v>
      </c>
      <c r="G414" s="64">
        <f>F414-E414</f>
        <v>1112510</v>
      </c>
      <c r="H414" s="68"/>
      <c r="I414" s="68"/>
    </row>
    <row r="415" spans="1:9" x14ac:dyDescent="0.35">
      <c r="A415" s="62"/>
      <c r="B415" s="62"/>
      <c r="C415" s="62" t="s">
        <v>153</v>
      </c>
      <c r="D415" s="63">
        <v>0</v>
      </c>
      <c r="E415" s="63">
        <v>-1457685</v>
      </c>
      <c r="F415" s="63">
        <v>0</v>
      </c>
      <c r="G415" s="63">
        <f>F415-E415</f>
        <v>1457685</v>
      </c>
    </row>
    <row r="416" spans="1:9" x14ac:dyDescent="0.35">
      <c r="A416" s="60"/>
      <c r="B416" s="60"/>
      <c r="C416" s="62" t="s">
        <v>62</v>
      </c>
      <c r="D416" s="63">
        <v>-181618</v>
      </c>
      <c r="E416" s="63">
        <v>0</v>
      </c>
      <c r="F416" s="63">
        <f>-342291</f>
        <v>-342291</v>
      </c>
      <c r="G416" s="63">
        <f>F416-E416</f>
        <v>-342291</v>
      </c>
    </row>
    <row r="417" spans="1:9" x14ac:dyDescent="0.35">
      <c r="A417" s="60"/>
      <c r="B417" s="60"/>
      <c r="C417" s="62" t="s">
        <v>63</v>
      </c>
      <c r="D417" s="63">
        <v>0</v>
      </c>
      <c r="E417" s="63">
        <v>0</v>
      </c>
      <c r="F417" s="63">
        <f>-2884</f>
        <v>-2884</v>
      </c>
      <c r="G417" s="63">
        <f>F417-E417</f>
        <v>-2884</v>
      </c>
      <c r="H417" s="80"/>
    </row>
    <row r="418" spans="1:9" s="65" customFormat="1" x14ac:dyDescent="0.35">
      <c r="A418" s="60"/>
      <c r="B418" s="60"/>
      <c r="C418" s="60" t="s">
        <v>116</v>
      </c>
      <c r="D418" s="64">
        <v>-250164</v>
      </c>
      <c r="E418" s="64">
        <f>-250164</f>
        <v>-250164</v>
      </c>
      <c r="F418" s="64">
        <f>-240352</f>
        <v>-240352</v>
      </c>
      <c r="G418" s="64">
        <f>F418-E418</f>
        <v>9812</v>
      </c>
      <c r="H418" s="68"/>
      <c r="I418" s="68"/>
    </row>
    <row r="419" spans="1:9" s="65" customFormat="1" ht="15.5" x14ac:dyDescent="0.35">
      <c r="A419" s="72" t="s">
        <v>89</v>
      </c>
      <c r="B419" s="60"/>
      <c r="C419" s="60"/>
      <c r="D419" s="64">
        <f>D420</f>
        <v>-159704486</v>
      </c>
      <c r="E419" s="64">
        <f t="shared" ref="E419:F419" si="187">E420</f>
        <v>-139241955</v>
      </c>
      <c r="F419" s="64">
        <f t="shared" si="187"/>
        <v>-104990870</v>
      </c>
      <c r="G419" s="64">
        <f t="shared" si="185"/>
        <v>34251085</v>
      </c>
      <c r="H419" s="68"/>
      <c r="I419" s="68"/>
    </row>
    <row r="420" spans="1:9" s="65" customFormat="1" ht="15.5" x14ac:dyDescent="0.35">
      <c r="A420" s="72" t="s">
        <v>82</v>
      </c>
      <c r="B420" s="60"/>
      <c r="C420" s="60"/>
      <c r="D420" s="64">
        <f>SUM(D421:D425)</f>
        <v>-159704486</v>
      </c>
      <c r="E420" s="64">
        <f t="shared" ref="E420:F420" si="188">SUM(E421:E425)</f>
        <v>-139241955</v>
      </c>
      <c r="F420" s="64">
        <f t="shared" si="188"/>
        <v>-104990870</v>
      </c>
      <c r="G420" s="64">
        <f t="shared" si="185"/>
        <v>34251085</v>
      </c>
      <c r="H420" s="68"/>
      <c r="I420" s="68"/>
    </row>
    <row r="421" spans="1:9" ht="15.5" x14ac:dyDescent="0.35">
      <c r="A421" s="77"/>
      <c r="B421" s="62" t="s">
        <v>111</v>
      </c>
      <c r="C421" s="62"/>
      <c r="D421" s="63">
        <f>D427+D464+D532+D550+D584+D611+D623+D644</f>
        <v>-67066342</v>
      </c>
      <c r="E421" s="63">
        <f t="shared" ref="E421:F421" si="189">E427+E464+E532+E550+E584+E611+E623+E644</f>
        <v>-81584706</v>
      </c>
      <c r="F421" s="63">
        <f t="shared" si="189"/>
        <v>-65900777</v>
      </c>
      <c r="G421" s="63">
        <f t="shared" si="185"/>
        <v>15683929</v>
      </c>
    </row>
    <row r="422" spans="1:9" ht="15.5" x14ac:dyDescent="0.35">
      <c r="A422" s="77"/>
      <c r="B422" s="62" t="s">
        <v>112</v>
      </c>
      <c r="C422" s="62"/>
      <c r="D422" s="63">
        <v>0</v>
      </c>
      <c r="E422" s="63">
        <v>0</v>
      </c>
      <c r="F422" s="63">
        <f>F428+F465+F585</f>
        <v>6574</v>
      </c>
      <c r="G422" s="63">
        <f t="shared" si="185"/>
        <v>6574</v>
      </c>
    </row>
    <row r="423" spans="1:9" x14ac:dyDescent="0.35">
      <c r="A423" s="62"/>
      <c r="B423" s="62" t="s">
        <v>113</v>
      </c>
      <c r="C423" s="62"/>
      <c r="D423" s="63">
        <f>D429+D466+D533+D551+D586+D624+D645</f>
        <v>-78341534</v>
      </c>
      <c r="E423" s="63">
        <f t="shared" ref="E423:F423" si="190">E429+E466+E533+E551+E586+E624+E645</f>
        <v>-32974754</v>
      </c>
      <c r="F423" s="63">
        <f t="shared" si="190"/>
        <v>-21106694</v>
      </c>
      <c r="G423" s="63">
        <f t="shared" si="185"/>
        <v>11868060</v>
      </c>
    </row>
    <row r="424" spans="1:9" s="86" customFormat="1" x14ac:dyDescent="0.35">
      <c r="A424" s="88"/>
      <c r="B424" s="62" t="s">
        <v>114</v>
      </c>
      <c r="C424" s="62"/>
      <c r="D424" s="63">
        <f>D430+D467</f>
        <v>-5705847</v>
      </c>
      <c r="E424" s="63">
        <f t="shared" ref="E424" si="191">E430+E467</f>
        <v>-16091732</v>
      </c>
      <c r="F424" s="63">
        <f>F430+F467+F552+F587</f>
        <v>-5497358</v>
      </c>
      <c r="G424" s="63">
        <f t="shared" si="185"/>
        <v>10594374</v>
      </c>
      <c r="H424" s="80"/>
      <c r="I424" s="80"/>
    </row>
    <row r="425" spans="1:9" x14ac:dyDescent="0.35">
      <c r="A425" s="62"/>
      <c r="B425" s="62" t="s">
        <v>115</v>
      </c>
      <c r="C425" s="62"/>
      <c r="D425" s="63">
        <f>D431+D468+D553+D588</f>
        <v>-8590763</v>
      </c>
      <c r="E425" s="63">
        <f t="shared" ref="E425:F425" si="192">E431+E468+E553+E588</f>
        <v>-8590763</v>
      </c>
      <c r="F425" s="63">
        <f t="shared" si="192"/>
        <v>-12492615</v>
      </c>
      <c r="G425" s="63">
        <f t="shared" si="185"/>
        <v>-3901852</v>
      </c>
    </row>
    <row r="426" spans="1:9" s="65" customFormat="1" ht="15.5" x14ac:dyDescent="0.35">
      <c r="A426" s="78" t="s">
        <v>137</v>
      </c>
      <c r="B426" s="60"/>
      <c r="C426" s="60"/>
      <c r="D426" s="64">
        <f>SUM(D427:D431)</f>
        <v>-4994651</v>
      </c>
      <c r="E426" s="64">
        <f t="shared" ref="E426:F426" si="193">SUM(E427:E431)</f>
        <v>-4513918</v>
      </c>
      <c r="F426" s="64">
        <f t="shared" si="193"/>
        <v>-5060955</v>
      </c>
      <c r="G426" s="64">
        <f t="shared" si="185"/>
        <v>-547037</v>
      </c>
      <c r="H426" s="68"/>
      <c r="I426" s="68"/>
    </row>
    <row r="427" spans="1:9" x14ac:dyDescent="0.35">
      <c r="A427" s="62"/>
      <c r="B427" s="62" t="s">
        <v>111</v>
      </c>
      <c r="C427" s="62"/>
      <c r="D427" s="63">
        <f>D436+D449</f>
        <v>-1645587</v>
      </c>
      <c r="E427" s="63">
        <f t="shared" ref="E427:F427" si="194">E436+E449</f>
        <v>-2042405</v>
      </c>
      <c r="F427" s="63">
        <f t="shared" si="194"/>
        <v>-1852534</v>
      </c>
      <c r="G427" s="63">
        <f t="shared" si="185"/>
        <v>189871</v>
      </c>
    </row>
    <row r="428" spans="1:9" x14ac:dyDescent="0.35">
      <c r="A428" s="62"/>
      <c r="B428" s="62" t="s">
        <v>112</v>
      </c>
      <c r="C428" s="62"/>
      <c r="D428" s="63">
        <v>0</v>
      </c>
      <c r="E428" s="63">
        <v>0</v>
      </c>
      <c r="F428" s="63">
        <v>23</v>
      </c>
      <c r="G428" s="63">
        <f t="shared" si="185"/>
        <v>23</v>
      </c>
    </row>
    <row r="429" spans="1:9" x14ac:dyDescent="0.35">
      <c r="A429" s="62"/>
      <c r="B429" s="62" t="s">
        <v>113</v>
      </c>
      <c r="C429" s="62"/>
      <c r="D429" s="63">
        <f>D439+D455</f>
        <v>-1993583</v>
      </c>
      <c r="E429" s="63">
        <f t="shared" ref="E429:F429" si="195">E439+E455</f>
        <v>-1991032</v>
      </c>
      <c r="F429" s="63">
        <f t="shared" si="195"/>
        <v>-1375936</v>
      </c>
      <c r="G429" s="63">
        <f t="shared" si="185"/>
        <v>615096</v>
      </c>
    </row>
    <row r="430" spans="1:9" x14ac:dyDescent="0.35">
      <c r="A430" s="62"/>
      <c r="B430" s="62" t="s">
        <v>114</v>
      </c>
      <c r="C430" s="62"/>
      <c r="D430" s="63">
        <f>D442</f>
        <v>-875000</v>
      </c>
      <c r="E430" s="63">
        <f t="shared" ref="E430" si="196">E442</f>
        <v>0</v>
      </c>
      <c r="F430" s="63">
        <f>F459</f>
        <v>-617</v>
      </c>
      <c r="G430" s="63">
        <f t="shared" si="185"/>
        <v>-617</v>
      </c>
    </row>
    <row r="431" spans="1:9" x14ac:dyDescent="0.35">
      <c r="A431" s="62"/>
      <c r="B431" s="62" t="s">
        <v>115</v>
      </c>
      <c r="C431" s="62"/>
      <c r="D431" s="63">
        <f>D462</f>
        <v>-480481</v>
      </c>
      <c r="E431" s="63">
        <f t="shared" ref="E431:F431" si="197">E462</f>
        <v>-480481</v>
      </c>
      <c r="F431" s="63">
        <f t="shared" si="197"/>
        <v>-1831891</v>
      </c>
      <c r="G431" s="63">
        <f t="shared" si="185"/>
        <v>-1351410</v>
      </c>
    </row>
    <row r="432" spans="1:9" x14ac:dyDescent="0.35">
      <c r="A432" s="60"/>
      <c r="B432" s="60" t="s">
        <v>123</v>
      </c>
      <c r="C432" s="60"/>
      <c r="D432" s="64">
        <f>SUM(D433:D435)</f>
        <v>-1215672</v>
      </c>
      <c r="E432" s="64">
        <f>SUM(E433:E435)</f>
        <v>-280336</v>
      </c>
      <c r="F432" s="64">
        <f>SUM(F433:F435)</f>
        <v>-136852</v>
      </c>
      <c r="G432" s="64">
        <f>F432-E432</f>
        <v>143484</v>
      </c>
    </row>
    <row r="433" spans="1:9" x14ac:dyDescent="0.35">
      <c r="A433" s="62"/>
      <c r="B433" s="62"/>
      <c r="C433" s="62" t="s">
        <v>62</v>
      </c>
      <c r="D433" s="63">
        <f>D437+D440</f>
        <v>-231358</v>
      </c>
      <c r="E433" s="63">
        <f t="shared" ref="E433:F433" si="198">E437+E440</f>
        <v>-144267</v>
      </c>
      <c r="F433" s="63">
        <f t="shared" si="198"/>
        <v>-109307</v>
      </c>
      <c r="G433" s="63">
        <f t="shared" ref="G433:G435" si="199">F433-E433</f>
        <v>34960</v>
      </c>
    </row>
    <row r="434" spans="1:9" x14ac:dyDescent="0.35">
      <c r="A434" s="62"/>
      <c r="B434" s="62"/>
      <c r="C434" s="62" t="s">
        <v>63</v>
      </c>
      <c r="D434" s="63">
        <f>D438+D441</f>
        <v>-109314</v>
      </c>
      <c r="E434" s="63">
        <f t="shared" ref="E434:F434" si="200">E438+E441</f>
        <v>-136069</v>
      </c>
      <c r="F434" s="63">
        <f t="shared" si="200"/>
        <v>-27545</v>
      </c>
      <c r="G434" s="63">
        <f t="shared" si="199"/>
        <v>108524</v>
      </c>
    </row>
    <row r="435" spans="1:9" x14ac:dyDescent="0.35">
      <c r="A435" s="62"/>
      <c r="B435" s="62"/>
      <c r="C435" s="62" t="s">
        <v>117</v>
      </c>
      <c r="D435" s="63">
        <f>D443</f>
        <v>-875000</v>
      </c>
      <c r="E435" s="63">
        <f t="shared" ref="E435" si="201">E443</f>
        <v>0</v>
      </c>
      <c r="F435" s="63">
        <v>0</v>
      </c>
      <c r="G435" s="63">
        <f t="shared" si="199"/>
        <v>0</v>
      </c>
      <c r="H435" s="75"/>
    </row>
    <row r="436" spans="1:9" x14ac:dyDescent="0.35">
      <c r="A436" s="60"/>
      <c r="B436" s="60"/>
      <c r="C436" s="60" t="s">
        <v>111</v>
      </c>
      <c r="D436" s="64">
        <f>SUM(D437:D438)</f>
        <v>-335615</v>
      </c>
      <c r="E436" s="64">
        <f t="shared" ref="E436:F436" si="202">SUM(E437:E438)</f>
        <v>-280336</v>
      </c>
      <c r="F436" s="64">
        <f t="shared" si="202"/>
        <v>-135078</v>
      </c>
      <c r="G436" s="64">
        <f>F436-E436</f>
        <v>145258</v>
      </c>
    </row>
    <row r="437" spans="1:9" x14ac:dyDescent="0.35">
      <c r="A437" s="62"/>
      <c r="B437" s="62"/>
      <c r="C437" s="62" t="s">
        <v>62</v>
      </c>
      <c r="D437" s="63">
        <v>-226772</v>
      </c>
      <c r="E437" s="63">
        <v>-144267</v>
      </c>
      <c r="F437" s="63">
        <v>-107601</v>
      </c>
      <c r="G437" s="63">
        <f t="shared" ref="G437:G438" si="203">F437-E437</f>
        <v>36666</v>
      </c>
    </row>
    <row r="438" spans="1:9" x14ac:dyDescent="0.35">
      <c r="A438" s="62"/>
      <c r="B438" s="62"/>
      <c r="C438" s="62" t="s">
        <v>63</v>
      </c>
      <c r="D438" s="63">
        <v>-108843</v>
      </c>
      <c r="E438" s="63">
        <v>-136069</v>
      </c>
      <c r="F438" s="63">
        <v>-27477</v>
      </c>
      <c r="G438" s="63">
        <f t="shared" si="203"/>
        <v>108592</v>
      </c>
    </row>
    <row r="439" spans="1:9" x14ac:dyDescent="0.35">
      <c r="A439" s="60"/>
      <c r="B439" s="60"/>
      <c r="C439" s="60" t="s">
        <v>113</v>
      </c>
      <c r="D439" s="64">
        <f>SUM(D440:D441)</f>
        <v>-5057</v>
      </c>
      <c r="E439" s="64">
        <f>SUM(E440:E441)</f>
        <v>0</v>
      </c>
      <c r="F439" s="64">
        <f>SUM(F440:F441)</f>
        <v>-1774</v>
      </c>
      <c r="G439" s="64">
        <f>F439-E439</f>
        <v>-1774</v>
      </c>
    </row>
    <row r="440" spans="1:9" x14ac:dyDescent="0.35">
      <c r="A440" s="62"/>
      <c r="B440" s="62"/>
      <c r="C440" s="62" t="s">
        <v>62</v>
      </c>
      <c r="D440" s="63">
        <v>-4586</v>
      </c>
      <c r="E440" s="63">
        <v>0</v>
      </c>
      <c r="F440" s="63">
        <v>-1706</v>
      </c>
      <c r="G440" s="63">
        <f t="shared" ref="G440:G443" si="204">F440-E440</f>
        <v>-1706</v>
      </c>
    </row>
    <row r="441" spans="1:9" x14ac:dyDescent="0.35">
      <c r="A441" s="60"/>
      <c r="B441" s="60"/>
      <c r="C441" s="62" t="s">
        <v>63</v>
      </c>
      <c r="D441" s="63">
        <v>-471</v>
      </c>
      <c r="E441" s="63">
        <v>0</v>
      </c>
      <c r="F441" s="64">
        <v>-68</v>
      </c>
      <c r="G441" s="63">
        <f t="shared" si="204"/>
        <v>-68</v>
      </c>
    </row>
    <row r="442" spans="1:9" s="65" customFormat="1" x14ac:dyDescent="0.35">
      <c r="A442" s="60"/>
      <c r="B442" s="60"/>
      <c r="C442" s="60" t="s">
        <v>114</v>
      </c>
      <c r="D442" s="64">
        <f>SUM(D443:D443)</f>
        <v>-875000</v>
      </c>
      <c r="E442" s="64">
        <f>SUM(E443:E443)</f>
        <v>0</v>
      </c>
      <c r="F442" s="64">
        <f>SUM(F443:F443)</f>
        <v>0</v>
      </c>
      <c r="G442" s="64">
        <f t="shared" si="204"/>
        <v>0</v>
      </c>
      <c r="H442" s="68"/>
      <c r="I442" s="68"/>
    </row>
    <row r="443" spans="1:9" x14ac:dyDescent="0.35">
      <c r="A443" s="62"/>
      <c r="B443" s="62"/>
      <c r="C443" s="62" t="s">
        <v>117</v>
      </c>
      <c r="D443" s="63">
        <v>-875000</v>
      </c>
      <c r="E443" s="63">
        <v>0</v>
      </c>
      <c r="F443" s="63">
        <v>0</v>
      </c>
      <c r="G443" s="63">
        <f t="shared" si="204"/>
        <v>0</v>
      </c>
    </row>
    <row r="444" spans="1:9" ht="14.25" customHeight="1" x14ac:dyDescent="0.35">
      <c r="A444" s="60"/>
      <c r="B444" s="60" t="s">
        <v>138</v>
      </c>
      <c r="C444" s="60"/>
      <c r="D444" s="64">
        <f>SUM(D446:D448)</f>
        <v>-3778979</v>
      </c>
      <c r="E444" s="64">
        <f>SUM(E445:E448)</f>
        <v>-4233582</v>
      </c>
      <c r="F444" s="64">
        <f>SUM(F446:F448)</f>
        <v>-4924103</v>
      </c>
      <c r="G444" s="64">
        <f>F444-E444</f>
        <v>-690521</v>
      </c>
    </row>
    <row r="445" spans="1:9" ht="14.25" customHeight="1" x14ac:dyDescent="0.35">
      <c r="A445" s="62"/>
      <c r="B445" s="62"/>
      <c r="C445" s="62" t="s">
        <v>153</v>
      </c>
      <c r="D445" s="63">
        <v>0</v>
      </c>
      <c r="E445" s="63">
        <f>E456</f>
        <v>-1991032</v>
      </c>
      <c r="F445" s="63">
        <v>0</v>
      </c>
      <c r="G445" s="63">
        <f>F445-E445</f>
        <v>1991032</v>
      </c>
    </row>
    <row r="446" spans="1:9" x14ac:dyDescent="0.35">
      <c r="A446" s="62"/>
      <c r="B446" s="62"/>
      <c r="C446" s="62" t="s">
        <v>62</v>
      </c>
      <c r="D446" s="63">
        <f>D450+D457</f>
        <v>-2340649</v>
      </c>
      <c r="E446" s="63">
        <f t="shared" ref="E446:F446" si="205">E450+E457</f>
        <v>-1286362</v>
      </c>
      <c r="F446" s="63">
        <f t="shared" si="205"/>
        <v>-2205657</v>
      </c>
      <c r="G446" s="63">
        <f t="shared" ref="G446:G448" si="206">F446-E446</f>
        <v>-919295</v>
      </c>
    </row>
    <row r="447" spans="1:9" x14ac:dyDescent="0.35">
      <c r="A447" s="62"/>
      <c r="B447" s="62"/>
      <c r="C447" s="62" t="s">
        <v>63</v>
      </c>
      <c r="D447" s="63">
        <f>D451+D458</f>
        <v>-953857</v>
      </c>
      <c r="E447" s="63">
        <f t="shared" ref="E447" si="207">E451+E458</f>
        <v>-470715</v>
      </c>
      <c r="F447" s="63">
        <f>F451+F458+F460</f>
        <v>-881930</v>
      </c>
      <c r="G447" s="63">
        <f t="shared" si="206"/>
        <v>-411215</v>
      </c>
    </row>
    <row r="448" spans="1:9" x14ac:dyDescent="0.35">
      <c r="A448" s="62"/>
      <c r="B448" s="62"/>
      <c r="C448" s="62" t="s">
        <v>108</v>
      </c>
      <c r="D448" s="63">
        <f>D462+D452</f>
        <v>-484473</v>
      </c>
      <c r="E448" s="63">
        <f t="shared" ref="E448" si="208">E462+E452</f>
        <v>-485473</v>
      </c>
      <c r="F448" s="63">
        <f>F462+F452+F454+F461</f>
        <v>-1836516</v>
      </c>
      <c r="G448" s="63">
        <f t="shared" si="206"/>
        <v>-1351043</v>
      </c>
    </row>
    <row r="449" spans="1:9" x14ac:dyDescent="0.35">
      <c r="A449" s="60"/>
      <c r="B449" s="60"/>
      <c r="C449" s="60" t="s">
        <v>111</v>
      </c>
      <c r="D449" s="64">
        <f>SUM(D450:D452)</f>
        <v>-1309972</v>
      </c>
      <c r="E449" s="64">
        <f t="shared" ref="E449:F449" si="209">SUM(E450:E452)</f>
        <v>-1762069</v>
      </c>
      <c r="F449" s="64">
        <f t="shared" si="209"/>
        <v>-1717456</v>
      </c>
      <c r="G449" s="64">
        <f>F449-E449</f>
        <v>44613</v>
      </c>
    </row>
    <row r="450" spans="1:9" x14ac:dyDescent="0.35">
      <c r="A450" s="62"/>
      <c r="B450" s="62"/>
      <c r="C450" s="62" t="s">
        <v>62</v>
      </c>
      <c r="D450" s="63">
        <v>-1016498</v>
      </c>
      <c r="E450" s="63">
        <v>-1286362</v>
      </c>
      <c r="F450" s="63">
        <v>-1285879</v>
      </c>
      <c r="G450" s="63">
        <f t="shared" ref="G450:G463" si="210">F450-E450</f>
        <v>483</v>
      </c>
    </row>
    <row r="451" spans="1:9" x14ac:dyDescent="0.35">
      <c r="A451" s="60"/>
      <c r="B451" s="60"/>
      <c r="C451" s="62" t="s">
        <v>63</v>
      </c>
      <c r="D451" s="63">
        <v>-289482</v>
      </c>
      <c r="E451" s="63">
        <v>-470715</v>
      </c>
      <c r="F451" s="63">
        <v>-426939</v>
      </c>
      <c r="G451" s="63">
        <f t="shared" si="210"/>
        <v>43776</v>
      </c>
    </row>
    <row r="452" spans="1:9" x14ac:dyDescent="0.35">
      <c r="A452" s="60"/>
      <c r="B452" s="60"/>
      <c r="C452" s="62" t="s">
        <v>64</v>
      </c>
      <c r="D452" s="63">
        <v>-3992</v>
      </c>
      <c r="E452" s="63">
        <v>-4992</v>
      </c>
      <c r="F452" s="63">
        <v>-4638</v>
      </c>
      <c r="G452" s="63">
        <f t="shared" si="210"/>
        <v>354</v>
      </c>
    </row>
    <row r="453" spans="1:9" s="65" customFormat="1" x14ac:dyDescent="0.35">
      <c r="A453" s="60"/>
      <c r="B453" s="60"/>
      <c r="C453" s="60" t="s">
        <v>112</v>
      </c>
      <c r="D453" s="64">
        <f>D454</f>
        <v>0</v>
      </c>
      <c r="E453" s="64">
        <f t="shared" ref="E453:F453" si="211">E454</f>
        <v>0</v>
      </c>
      <c r="F453" s="64">
        <f t="shared" si="211"/>
        <v>23</v>
      </c>
      <c r="G453" s="63">
        <f t="shared" si="210"/>
        <v>23</v>
      </c>
      <c r="H453" s="79"/>
      <c r="I453" s="79"/>
    </row>
    <row r="454" spans="1:9" x14ac:dyDescent="0.35">
      <c r="A454" s="60"/>
      <c r="B454" s="60"/>
      <c r="C454" s="62" t="s">
        <v>64</v>
      </c>
      <c r="D454" s="63">
        <v>0</v>
      </c>
      <c r="E454" s="63">
        <v>0</v>
      </c>
      <c r="F454" s="64">
        <v>23</v>
      </c>
      <c r="G454" s="63">
        <f t="shared" si="210"/>
        <v>23</v>
      </c>
    </row>
    <row r="455" spans="1:9" x14ac:dyDescent="0.35">
      <c r="A455" s="60"/>
      <c r="B455" s="60"/>
      <c r="C455" s="60" t="s">
        <v>113</v>
      </c>
      <c r="D455" s="64">
        <f>SUM(D457:D458)</f>
        <v>-1988526</v>
      </c>
      <c r="E455" s="64">
        <f>SUM(E456:E458)</f>
        <v>-1991032</v>
      </c>
      <c r="F455" s="64">
        <f>SUM(F457:F458)</f>
        <v>-1374162</v>
      </c>
      <c r="G455" s="64">
        <f>F455-E455</f>
        <v>616870</v>
      </c>
    </row>
    <row r="456" spans="1:9" x14ac:dyDescent="0.35">
      <c r="A456" s="62"/>
      <c r="B456" s="62"/>
      <c r="C456" s="62" t="s">
        <v>153</v>
      </c>
      <c r="D456" s="63">
        <v>0</v>
      </c>
      <c r="E456" s="63">
        <v>-1991032</v>
      </c>
      <c r="F456" s="63">
        <v>0</v>
      </c>
      <c r="G456" s="63">
        <f>F456-E456</f>
        <v>1991032</v>
      </c>
    </row>
    <row r="457" spans="1:9" x14ac:dyDescent="0.35">
      <c r="A457" s="62"/>
      <c r="B457" s="62"/>
      <c r="C457" s="62" t="s">
        <v>62</v>
      </c>
      <c r="D457" s="63">
        <v>-1324151</v>
      </c>
      <c r="E457" s="63">
        <v>0</v>
      </c>
      <c r="F457" s="63">
        <v>-919778</v>
      </c>
      <c r="G457" s="63">
        <f t="shared" ref="G457:G461" si="212">F457-E457</f>
        <v>-919778</v>
      </c>
    </row>
    <row r="458" spans="1:9" x14ac:dyDescent="0.35">
      <c r="A458" s="60"/>
      <c r="B458" s="60"/>
      <c r="C458" s="62" t="s">
        <v>63</v>
      </c>
      <c r="D458" s="63">
        <v>-664375</v>
      </c>
      <c r="E458" s="63">
        <v>0</v>
      </c>
      <c r="F458" s="63">
        <v>-454384</v>
      </c>
      <c r="G458" s="63">
        <f t="shared" si="212"/>
        <v>-454384</v>
      </c>
    </row>
    <row r="459" spans="1:9" s="65" customFormat="1" x14ac:dyDescent="0.35">
      <c r="A459" s="60"/>
      <c r="B459" s="60"/>
      <c r="C459" s="60" t="s">
        <v>114</v>
      </c>
      <c r="D459" s="64">
        <f>D460+D461</f>
        <v>0</v>
      </c>
      <c r="E459" s="64">
        <f t="shared" ref="E459:F459" si="213">E460+E461</f>
        <v>0</v>
      </c>
      <c r="F459" s="64">
        <f t="shared" si="213"/>
        <v>-617</v>
      </c>
      <c r="G459" s="63">
        <f t="shared" si="212"/>
        <v>-617</v>
      </c>
      <c r="H459" s="79"/>
      <c r="I459" s="79"/>
    </row>
    <row r="460" spans="1:9" x14ac:dyDescent="0.35">
      <c r="A460" s="60"/>
      <c r="B460" s="60"/>
      <c r="C460" s="62" t="s">
        <v>63</v>
      </c>
      <c r="D460" s="63">
        <v>0</v>
      </c>
      <c r="E460" s="63">
        <v>0</v>
      </c>
      <c r="F460" s="63">
        <v>-607</v>
      </c>
      <c r="G460" s="63">
        <f t="shared" si="212"/>
        <v>-607</v>
      </c>
    </row>
    <row r="461" spans="1:9" x14ac:dyDescent="0.35">
      <c r="A461" s="60"/>
      <c r="B461" s="60"/>
      <c r="C461" s="62" t="s">
        <v>64</v>
      </c>
      <c r="D461" s="63">
        <v>0</v>
      </c>
      <c r="E461" s="63">
        <v>0</v>
      </c>
      <c r="F461" s="63">
        <v>-10</v>
      </c>
      <c r="G461" s="63">
        <f t="shared" si="212"/>
        <v>-10</v>
      </c>
    </row>
    <row r="462" spans="1:9" s="65" customFormat="1" x14ac:dyDescent="0.35">
      <c r="A462" s="60"/>
      <c r="B462" s="60"/>
      <c r="C462" s="60" t="s">
        <v>116</v>
      </c>
      <c r="D462" s="64">
        <v>-480481</v>
      </c>
      <c r="E462" s="64">
        <f t="shared" ref="E462" si="214">D462</f>
        <v>-480481</v>
      </c>
      <c r="F462" s="64">
        <v>-1831891</v>
      </c>
      <c r="G462" s="64">
        <f t="shared" si="210"/>
        <v>-1351410</v>
      </c>
      <c r="H462" s="68"/>
      <c r="I462" s="68"/>
    </row>
    <row r="463" spans="1:9" ht="15" x14ac:dyDescent="0.35">
      <c r="A463" s="89" t="s">
        <v>139</v>
      </c>
      <c r="B463" s="65"/>
      <c r="C463" s="65"/>
      <c r="D463" s="73">
        <f>SUM(D464:D468)</f>
        <v>-99524002</v>
      </c>
      <c r="E463" s="73">
        <f t="shared" ref="E463:F463" si="215">SUM(E464:E468)</f>
        <v>-96937056</v>
      </c>
      <c r="F463" s="73">
        <f t="shared" si="215"/>
        <v>-69931679</v>
      </c>
      <c r="G463" s="64">
        <f t="shared" si="210"/>
        <v>27005377</v>
      </c>
    </row>
    <row r="464" spans="1:9" x14ac:dyDescent="0.35">
      <c r="A464" s="62"/>
      <c r="B464" s="62" t="s">
        <v>111</v>
      </c>
      <c r="C464" s="62"/>
      <c r="D464" s="63">
        <f>D477+D496+D516</f>
        <v>-49818889</v>
      </c>
      <c r="E464" s="63">
        <f t="shared" ref="E464:F464" si="216">E477+E496+E516</f>
        <v>-59877289</v>
      </c>
      <c r="F464" s="63">
        <f t="shared" si="216"/>
        <v>-46133605</v>
      </c>
      <c r="G464" s="63">
        <f t="shared" ref="G464:G466" si="217">F464-E464</f>
        <v>13743684</v>
      </c>
    </row>
    <row r="465" spans="1:11" x14ac:dyDescent="0.35">
      <c r="A465" s="62"/>
      <c r="B465" s="62" t="s">
        <v>112</v>
      </c>
      <c r="C465" s="62"/>
      <c r="D465" s="63">
        <v>0</v>
      </c>
      <c r="E465" s="63">
        <v>0</v>
      </c>
      <c r="F465" s="63">
        <v>617</v>
      </c>
      <c r="G465" s="63">
        <f t="shared" si="217"/>
        <v>617</v>
      </c>
    </row>
    <row r="466" spans="1:11" x14ac:dyDescent="0.35">
      <c r="A466" s="62"/>
      <c r="B466" s="62" t="s">
        <v>113</v>
      </c>
      <c r="C466" s="62"/>
      <c r="D466" s="63">
        <f>D483+D502+D522</f>
        <v>-38071228</v>
      </c>
      <c r="E466" s="63">
        <f t="shared" ref="E466:F466" si="218">E483+E502+E522</f>
        <v>-14164997</v>
      </c>
      <c r="F466" s="63">
        <f t="shared" si="218"/>
        <v>-9083697</v>
      </c>
      <c r="G466" s="63">
        <f t="shared" si="217"/>
        <v>5081300</v>
      </c>
    </row>
    <row r="467" spans="1:11" x14ac:dyDescent="0.35">
      <c r="A467" s="62"/>
      <c r="B467" s="62" t="s">
        <v>114</v>
      </c>
      <c r="C467" s="62"/>
      <c r="D467" s="63">
        <f>D506+D526</f>
        <v>-4830847</v>
      </c>
      <c r="E467" s="63">
        <f t="shared" ref="E467:F467" si="219">E506+E526</f>
        <v>-16091732</v>
      </c>
      <c r="F467" s="63">
        <f t="shared" si="219"/>
        <v>-5491730</v>
      </c>
      <c r="G467" s="63">
        <f t="shared" ref="G467:G468" si="220">F467-E467</f>
        <v>10600002</v>
      </c>
    </row>
    <row r="468" spans="1:11" x14ac:dyDescent="0.35">
      <c r="A468" s="62"/>
      <c r="B468" s="62" t="s">
        <v>115</v>
      </c>
      <c r="C468" s="62"/>
      <c r="D468" s="63">
        <f>D510+D490+D530</f>
        <v>-6803038</v>
      </c>
      <c r="E468" s="63">
        <f t="shared" ref="E468:F468" si="221">E510+E490+E530</f>
        <v>-6803038</v>
      </c>
      <c r="F468" s="63">
        <f t="shared" si="221"/>
        <v>-9223264</v>
      </c>
      <c r="G468" s="63">
        <f t="shared" si="220"/>
        <v>-2420226</v>
      </c>
    </row>
    <row r="469" spans="1:11" x14ac:dyDescent="0.35">
      <c r="A469" s="60"/>
      <c r="B469" s="60" t="s">
        <v>123</v>
      </c>
      <c r="C469" s="60"/>
      <c r="D469" s="64">
        <f>SUM(D471:D476)</f>
        <v>-42135708</v>
      </c>
      <c r="E469" s="64">
        <f>SUM(E470:E476)</f>
        <v>-15474411</v>
      </c>
      <c r="F469" s="64">
        <f t="shared" ref="F469" si="222">SUM(F471:F476)</f>
        <v>-10207973</v>
      </c>
      <c r="G469" s="64">
        <f>F469-E469</f>
        <v>5266438</v>
      </c>
    </row>
    <row r="470" spans="1:11" x14ac:dyDescent="0.35">
      <c r="A470" s="60"/>
      <c r="B470" s="60"/>
      <c r="C470" s="60" t="s">
        <v>153</v>
      </c>
      <c r="D470" s="64">
        <v>0</v>
      </c>
      <c r="E470" s="64">
        <f>E484</f>
        <v>-6018132</v>
      </c>
      <c r="F470" s="64">
        <v>0</v>
      </c>
      <c r="G470" s="64">
        <f>F470-E470</f>
        <v>6018132</v>
      </c>
      <c r="I470" s="75"/>
    </row>
    <row r="471" spans="1:11" x14ac:dyDescent="0.35">
      <c r="A471" s="62"/>
      <c r="B471" s="62"/>
      <c r="C471" s="62" t="s">
        <v>62</v>
      </c>
      <c r="D471" s="63">
        <f>D478+D485</f>
        <v>-2901945</v>
      </c>
      <c r="E471" s="63">
        <f t="shared" ref="E471:F471" si="223">E478+E485</f>
        <v>-802837</v>
      </c>
      <c r="F471" s="63">
        <f t="shared" si="223"/>
        <v>-1586694</v>
      </c>
      <c r="G471" s="63">
        <f t="shared" ref="G471:G476" si="224">F471-E471</f>
        <v>-783857</v>
      </c>
    </row>
    <row r="472" spans="1:11" x14ac:dyDescent="0.35">
      <c r="A472" s="62"/>
      <c r="B472" s="62"/>
      <c r="C472" s="62" t="s">
        <v>63</v>
      </c>
      <c r="D472" s="63">
        <f>D479+D486</f>
        <v>-5309749</v>
      </c>
      <c r="E472" s="63">
        <f t="shared" ref="E472:F472" si="225">E479+E486</f>
        <v>-1197275</v>
      </c>
      <c r="F472" s="63">
        <f t="shared" si="225"/>
        <v>-1651548</v>
      </c>
      <c r="G472" s="63">
        <f t="shared" si="224"/>
        <v>-454273</v>
      </c>
      <c r="H472" s="80"/>
      <c r="I472" s="80"/>
      <c r="J472" s="86"/>
      <c r="K472" s="86"/>
    </row>
    <row r="473" spans="1:11" x14ac:dyDescent="0.35">
      <c r="A473" s="62"/>
      <c r="B473" s="62"/>
      <c r="C473" s="62" t="s">
        <v>106</v>
      </c>
      <c r="D473" s="63">
        <v>0</v>
      </c>
      <c r="E473" s="63">
        <v>0</v>
      </c>
      <c r="F473" s="63">
        <f>F487</f>
        <v>-6000</v>
      </c>
      <c r="G473" s="63">
        <f t="shared" si="224"/>
        <v>-6000</v>
      </c>
      <c r="H473" s="80"/>
      <c r="I473" s="82"/>
      <c r="J473" s="86"/>
      <c r="K473" s="86"/>
    </row>
    <row r="474" spans="1:11" x14ac:dyDescent="0.35">
      <c r="A474" s="62"/>
      <c r="B474" s="62"/>
      <c r="C474" s="62" t="s">
        <v>117</v>
      </c>
      <c r="D474" s="63">
        <f>D480+D488</f>
        <v>-1489214</v>
      </c>
      <c r="E474" s="63">
        <f t="shared" ref="E474:F474" si="226">E480+E488</f>
        <v>-3381519</v>
      </c>
      <c r="F474" s="63">
        <f t="shared" si="226"/>
        <v>-1941215</v>
      </c>
      <c r="G474" s="63">
        <f t="shared" si="224"/>
        <v>1440304</v>
      </c>
      <c r="H474" s="80"/>
      <c r="I474" s="82"/>
      <c r="J474" s="86"/>
      <c r="K474" s="86"/>
    </row>
    <row r="475" spans="1:11" x14ac:dyDescent="0.35">
      <c r="A475" s="62"/>
      <c r="B475" s="62"/>
      <c r="C475" s="62" t="s">
        <v>107</v>
      </c>
      <c r="D475" s="63">
        <f>D481+D489</f>
        <v>-32428850</v>
      </c>
      <c r="E475" s="63">
        <f t="shared" ref="E475:F475" si="227">E481+E489</f>
        <v>-4068503</v>
      </c>
      <c r="F475" s="63">
        <f t="shared" si="227"/>
        <v>-4967668</v>
      </c>
      <c r="G475" s="63">
        <f t="shared" si="224"/>
        <v>-899165</v>
      </c>
      <c r="H475" s="80"/>
      <c r="I475" s="82"/>
      <c r="J475" s="86"/>
      <c r="K475" s="86"/>
    </row>
    <row r="476" spans="1:11" x14ac:dyDescent="0.35">
      <c r="A476" s="62"/>
      <c r="B476" s="62"/>
      <c r="C476" s="62" t="s">
        <v>108</v>
      </c>
      <c r="D476" s="63">
        <f>D490</f>
        <v>-5950</v>
      </c>
      <c r="E476" s="63">
        <f>E490+E482</f>
        <v>-6145</v>
      </c>
      <c r="F476" s="63">
        <f>F490+F482</f>
        <v>-54848</v>
      </c>
      <c r="G476" s="63">
        <f t="shared" si="224"/>
        <v>-48703</v>
      </c>
      <c r="H476" s="80"/>
      <c r="I476" s="80"/>
      <c r="J476" s="86"/>
      <c r="K476" s="86"/>
    </row>
    <row r="477" spans="1:11" x14ac:dyDescent="0.35">
      <c r="A477" s="60"/>
      <c r="B477" s="60"/>
      <c r="C477" s="60" t="s">
        <v>111</v>
      </c>
      <c r="D477" s="64">
        <f>SUM(D478:D481)</f>
        <v>-8619185</v>
      </c>
      <c r="E477" s="64">
        <f>SUM(E478:E482)</f>
        <v>-9450329</v>
      </c>
      <c r="F477" s="64">
        <f>SUM(F478:F482)</f>
        <v>-7378095</v>
      </c>
      <c r="G477" s="64">
        <f>F477-E477</f>
        <v>2072234</v>
      </c>
    </row>
    <row r="478" spans="1:11" x14ac:dyDescent="0.35">
      <c r="A478" s="62"/>
      <c r="B478" s="62"/>
      <c r="C478" s="62" t="s">
        <v>62</v>
      </c>
      <c r="D478" s="63">
        <v>-1216822</v>
      </c>
      <c r="E478" s="63">
        <v>-802837</v>
      </c>
      <c r="F478" s="63">
        <v>-785750</v>
      </c>
      <c r="G478" s="63">
        <f t="shared" ref="G478:G482" si="228">F478-E478</f>
        <v>17087</v>
      </c>
    </row>
    <row r="479" spans="1:11" x14ac:dyDescent="0.35">
      <c r="A479" s="62"/>
      <c r="B479" s="62"/>
      <c r="C479" s="62" t="s">
        <v>63</v>
      </c>
      <c r="D479" s="63">
        <v>-1626829</v>
      </c>
      <c r="E479" s="63">
        <v>-1197275</v>
      </c>
      <c r="F479" s="63">
        <v>-582843</v>
      </c>
      <c r="G479" s="63">
        <f t="shared" si="228"/>
        <v>614432</v>
      </c>
    </row>
    <row r="480" spans="1:11" x14ac:dyDescent="0.35">
      <c r="A480" s="62"/>
      <c r="B480" s="62"/>
      <c r="C480" s="62" t="s">
        <v>117</v>
      </c>
      <c r="D480" s="63">
        <v>-324000</v>
      </c>
      <c r="E480" s="63">
        <v>-3381519</v>
      </c>
      <c r="F480" s="63">
        <v>-1941215</v>
      </c>
      <c r="G480" s="63">
        <f t="shared" si="228"/>
        <v>1440304</v>
      </c>
    </row>
    <row r="481" spans="1:9" x14ac:dyDescent="0.35">
      <c r="A481" s="62"/>
      <c r="B481" s="62"/>
      <c r="C481" s="62" t="s">
        <v>107</v>
      </c>
      <c r="D481" s="63">
        <f>-5775534+324000</f>
        <v>-5451534</v>
      </c>
      <c r="E481" s="63">
        <v>-4068503</v>
      </c>
      <c r="F481" s="63">
        <v>-4068092</v>
      </c>
      <c r="G481" s="63">
        <f t="shared" si="228"/>
        <v>411</v>
      </c>
    </row>
    <row r="482" spans="1:9" x14ac:dyDescent="0.35">
      <c r="A482" s="62"/>
      <c r="B482" s="62"/>
      <c r="C482" s="62" t="s">
        <v>64</v>
      </c>
      <c r="D482" s="63">
        <v>0</v>
      </c>
      <c r="E482" s="63">
        <v>-195</v>
      </c>
      <c r="F482" s="63">
        <v>-195</v>
      </c>
      <c r="G482" s="63">
        <f t="shared" si="228"/>
        <v>0</v>
      </c>
    </row>
    <row r="483" spans="1:9" x14ac:dyDescent="0.35">
      <c r="A483" s="60"/>
      <c r="B483" s="60"/>
      <c r="C483" s="60" t="s">
        <v>113</v>
      </c>
      <c r="D483" s="64">
        <f>SUM(D485:D489)</f>
        <v>-33510573</v>
      </c>
      <c r="E483" s="64">
        <f>SUM(E484:E489)</f>
        <v>-6018132</v>
      </c>
      <c r="F483" s="64">
        <f t="shared" ref="F483" si="229">SUM(F485:F489)</f>
        <v>-2775225</v>
      </c>
      <c r="G483" s="64">
        <f>F483-E483</f>
        <v>3242907</v>
      </c>
    </row>
    <row r="484" spans="1:9" x14ac:dyDescent="0.35">
      <c r="A484" s="62"/>
      <c r="B484" s="62"/>
      <c r="C484" s="62" t="s">
        <v>153</v>
      </c>
      <c r="D484" s="63">
        <v>0</v>
      </c>
      <c r="E484" s="63">
        <v>-6018132</v>
      </c>
      <c r="F484" s="63">
        <v>0</v>
      </c>
      <c r="G484" s="63">
        <f>F484-E484</f>
        <v>6018132</v>
      </c>
    </row>
    <row r="485" spans="1:9" x14ac:dyDescent="0.35">
      <c r="A485" s="62"/>
      <c r="B485" s="62"/>
      <c r="C485" s="62" t="s">
        <v>62</v>
      </c>
      <c r="D485" s="63">
        <v>-1685123</v>
      </c>
      <c r="E485" s="63">
        <v>0</v>
      </c>
      <c r="F485" s="63">
        <v>-800944</v>
      </c>
      <c r="G485" s="63">
        <f t="shared" ref="G485:G488" si="230">F485-E485</f>
        <v>-800944</v>
      </c>
    </row>
    <row r="486" spans="1:9" x14ac:dyDescent="0.35">
      <c r="A486" s="60"/>
      <c r="B486" s="60"/>
      <c r="C486" s="62" t="s">
        <v>63</v>
      </c>
      <c r="D486" s="63">
        <v>-3682920</v>
      </c>
      <c r="E486" s="63">
        <v>0</v>
      </c>
      <c r="F486" s="63">
        <v>-1068705</v>
      </c>
      <c r="G486" s="63">
        <f t="shared" si="230"/>
        <v>-1068705</v>
      </c>
    </row>
    <row r="487" spans="1:9" x14ac:dyDescent="0.35">
      <c r="A487" s="60"/>
      <c r="B487" s="60"/>
      <c r="C487" s="62" t="s">
        <v>106</v>
      </c>
      <c r="D487" s="63"/>
      <c r="E487" s="63">
        <v>0</v>
      </c>
      <c r="F487" s="63">
        <v>-6000</v>
      </c>
      <c r="G487" s="63">
        <f t="shared" si="230"/>
        <v>-6000</v>
      </c>
    </row>
    <row r="488" spans="1:9" x14ac:dyDescent="0.35">
      <c r="A488" s="62"/>
      <c r="B488" s="62"/>
      <c r="C488" s="62" t="s">
        <v>117</v>
      </c>
      <c r="D488" s="63">
        <v>-1165214</v>
      </c>
      <c r="E488" s="63">
        <v>0</v>
      </c>
      <c r="F488" s="63">
        <v>0</v>
      </c>
      <c r="G488" s="63">
        <f t="shared" si="230"/>
        <v>0</v>
      </c>
      <c r="I488" s="75"/>
    </row>
    <row r="489" spans="1:9" x14ac:dyDescent="0.35">
      <c r="A489" s="60"/>
      <c r="B489" s="60"/>
      <c r="C489" s="62" t="s">
        <v>107</v>
      </c>
      <c r="D489" s="63">
        <f>-7680000-198535-20263995+1165214</f>
        <v>-26977316</v>
      </c>
      <c r="E489" s="63">
        <v>0</v>
      </c>
      <c r="F489" s="63">
        <v>-899576</v>
      </c>
      <c r="G489" s="63">
        <f t="shared" ref="G489:G490" si="231">F489-E489</f>
        <v>-899576</v>
      </c>
      <c r="I489" s="75"/>
    </row>
    <row r="490" spans="1:9" s="65" customFormat="1" x14ac:dyDescent="0.35">
      <c r="A490" s="60"/>
      <c r="B490" s="60"/>
      <c r="C490" s="60" t="s">
        <v>116</v>
      </c>
      <c r="D490" s="64">
        <v>-5950</v>
      </c>
      <c r="E490" s="64">
        <f t="shared" ref="E490" si="232">D490</f>
        <v>-5950</v>
      </c>
      <c r="F490" s="64">
        <v>-54653</v>
      </c>
      <c r="G490" s="64">
        <f t="shared" si="231"/>
        <v>-48703</v>
      </c>
      <c r="H490" s="68"/>
      <c r="I490" s="68"/>
    </row>
    <row r="491" spans="1:9" ht="14.25" customHeight="1" x14ac:dyDescent="0.35">
      <c r="A491" s="60"/>
      <c r="B491" s="60" t="s">
        <v>138</v>
      </c>
      <c r="C491" s="60"/>
      <c r="D491" s="64">
        <f>SUM(D493:D495)</f>
        <v>-18839661</v>
      </c>
      <c r="E491" s="64">
        <f>SUM(E492:E495)</f>
        <v>-26779295</v>
      </c>
      <c r="F491" s="64">
        <f>SUM(F493:F495)</f>
        <v>-22997858</v>
      </c>
      <c r="G491" s="64">
        <f>F491-E491</f>
        <v>3781437</v>
      </c>
    </row>
    <row r="492" spans="1:9" ht="14.25" customHeight="1" x14ac:dyDescent="0.35">
      <c r="A492" s="62"/>
      <c r="B492" s="62"/>
      <c r="C492" s="62" t="s">
        <v>153</v>
      </c>
      <c r="D492" s="63">
        <v>0</v>
      </c>
      <c r="E492" s="63">
        <f>E503+E507</f>
        <v>-7167667</v>
      </c>
      <c r="F492" s="63">
        <v>0</v>
      </c>
      <c r="G492" s="63">
        <f>F492-E492</f>
        <v>7167667</v>
      </c>
    </row>
    <row r="493" spans="1:9" x14ac:dyDescent="0.35">
      <c r="A493" s="62"/>
      <c r="B493" s="62"/>
      <c r="C493" s="62" t="s">
        <v>62</v>
      </c>
      <c r="D493" s="63">
        <f>D497+D504</f>
        <v>-9292329</v>
      </c>
      <c r="E493" s="63">
        <f t="shared" ref="E493:F493" si="233">E497+E504</f>
        <v>-9139395</v>
      </c>
      <c r="F493" s="63">
        <f t="shared" si="233"/>
        <v>-10063364</v>
      </c>
      <c r="G493" s="63">
        <f t="shared" ref="G493:G495" si="234">F493-E493</f>
        <v>-923969</v>
      </c>
    </row>
    <row r="494" spans="1:9" x14ac:dyDescent="0.35">
      <c r="A494" s="62"/>
      <c r="B494" s="62"/>
      <c r="C494" s="62" t="s">
        <v>63</v>
      </c>
      <c r="D494" s="63">
        <f>D498+D505+D508</f>
        <v>-5558286</v>
      </c>
      <c r="E494" s="63">
        <f t="shared" ref="E494:F494" si="235">E498+E505+E508</f>
        <v>-6474102</v>
      </c>
      <c r="F494" s="63">
        <f t="shared" si="235"/>
        <v>-8643022</v>
      </c>
      <c r="G494" s="63">
        <f t="shared" si="234"/>
        <v>-2168920</v>
      </c>
    </row>
    <row r="495" spans="1:9" x14ac:dyDescent="0.35">
      <c r="A495" s="62"/>
      <c r="B495" s="62"/>
      <c r="C495" s="62" t="s">
        <v>108</v>
      </c>
      <c r="D495" s="63">
        <f>D510+D499</f>
        <v>-3989046</v>
      </c>
      <c r="E495" s="63">
        <f t="shared" ref="E495" si="236">E510+E499</f>
        <v>-3998131</v>
      </c>
      <c r="F495" s="63">
        <f>F510+F499+F509+F501</f>
        <v>-4291472</v>
      </c>
      <c r="G495" s="63">
        <f t="shared" si="234"/>
        <v>-293341</v>
      </c>
    </row>
    <row r="496" spans="1:9" x14ac:dyDescent="0.35">
      <c r="A496" s="60"/>
      <c r="B496" s="60"/>
      <c r="C496" s="60" t="s">
        <v>111</v>
      </c>
      <c r="D496" s="64">
        <f>SUM(D497:D499)</f>
        <v>-11876595</v>
      </c>
      <c r="E496" s="64">
        <f t="shared" ref="E496" si="237">SUM(E497:E499)</f>
        <v>-15640599</v>
      </c>
      <c r="F496" s="64">
        <f t="shared" ref="F496" si="238">SUM(F497:F499)</f>
        <v>-15100633</v>
      </c>
      <c r="G496" s="64">
        <f>F496-E496</f>
        <v>539966</v>
      </c>
    </row>
    <row r="497" spans="1:9" x14ac:dyDescent="0.35">
      <c r="A497" s="62"/>
      <c r="B497" s="62"/>
      <c r="C497" s="62" t="s">
        <v>62</v>
      </c>
      <c r="D497" s="63">
        <v>-8537698</v>
      </c>
      <c r="E497" s="63">
        <v>-9139395</v>
      </c>
      <c r="F497" s="63">
        <v>-9043704</v>
      </c>
      <c r="G497" s="63">
        <f t="shared" ref="G497:G501" si="239">F497-E497</f>
        <v>95691</v>
      </c>
    </row>
    <row r="498" spans="1:9" x14ac:dyDescent="0.35">
      <c r="A498" s="60"/>
      <c r="B498" s="60"/>
      <c r="C498" s="62" t="s">
        <v>63</v>
      </c>
      <c r="D498" s="63">
        <v>-3320880</v>
      </c>
      <c r="E498" s="63">
        <v>-6474102</v>
      </c>
      <c r="F498" s="63">
        <v>-6034811</v>
      </c>
      <c r="G498" s="63">
        <f t="shared" si="239"/>
        <v>439291</v>
      </c>
    </row>
    <row r="499" spans="1:9" x14ac:dyDescent="0.35">
      <c r="A499" s="60"/>
      <c r="B499" s="60"/>
      <c r="C499" s="62" t="s">
        <v>64</v>
      </c>
      <c r="D499" s="63">
        <v>-18017</v>
      </c>
      <c r="E499" s="63">
        <v>-27102</v>
      </c>
      <c r="F499" s="63">
        <v>-22118</v>
      </c>
      <c r="G499" s="63">
        <f t="shared" si="239"/>
        <v>4984</v>
      </c>
    </row>
    <row r="500" spans="1:9" x14ac:dyDescent="0.35">
      <c r="A500" s="60"/>
      <c r="B500" s="60"/>
      <c r="C500" s="60" t="s">
        <v>112</v>
      </c>
      <c r="D500" s="64">
        <f>D501</f>
        <v>0</v>
      </c>
      <c r="E500" s="64">
        <f t="shared" ref="E500:F500" si="240">E501</f>
        <v>0</v>
      </c>
      <c r="F500" s="64">
        <f t="shared" si="240"/>
        <v>280</v>
      </c>
      <c r="G500" s="64">
        <f t="shared" si="239"/>
        <v>280</v>
      </c>
    </row>
    <row r="501" spans="1:9" x14ac:dyDescent="0.35">
      <c r="A501" s="60"/>
      <c r="B501" s="60"/>
      <c r="C501" s="62" t="s">
        <v>64</v>
      </c>
      <c r="D501" s="63">
        <v>0</v>
      </c>
      <c r="E501" s="63">
        <v>0</v>
      </c>
      <c r="F501" s="63">
        <v>280</v>
      </c>
      <c r="G501" s="63">
        <f t="shared" si="239"/>
        <v>280</v>
      </c>
    </row>
    <row r="502" spans="1:9" x14ac:dyDescent="0.35">
      <c r="A502" s="60"/>
      <c r="B502" s="60"/>
      <c r="C502" s="60" t="s">
        <v>113</v>
      </c>
      <c r="D502" s="64">
        <f>SUM(D504:D505)</f>
        <v>-1030042</v>
      </c>
      <c r="E502" s="64">
        <f>SUM(E503:E505)</f>
        <v>-1574060</v>
      </c>
      <c r="F502" s="64">
        <f>SUM(F504:F505)</f>
        <v>-1567561</v>
      </c>
      <c r="G502" s="64">
        <f>F502-E502</f>
        <v>6499</v>
      </c>
    </row>
    <row r="503" spans="1:9" x14ac:dyDescent="0.35">
      <c r="A503" s="62"/>
      <c r="B503" s="62"/>
      <c r="C503" s="62" t="s">
        <v>153</v>
      </c>
      <c r="D503" s="63">
        <v>0</v>
      </c>
      <c r="E503" s="63">
        <v>-1574060</v>
      </c>
      <c r="F503" s="63">
        <v>0</v>
      </c>
      <c r="G503" s="63">
        <f>F503-E503</f>
        <v>1574060</v>
      </c>
    </row>
    <row r="504" spans="1:9" x14ac:dyDescent="0.35">
      <c r="A504" s="62"/>
      <c r="B504" s="62"/>
      <c r="C504" s="62" t="s">
        <v>62</v>
      </c>
      <c r="D504" s="63">
        <v>-754631</v>
      </c>
      <c r="E504" s="63">
        <v>0</v>
      </c>
      <c r="F504" s="63">
        <v>-1019660</v>
      </c>
      <c r="G504" s="63">
        <f t="shared" ref="G504:G510" si="241">F504-E504</f>
        <v>-1019660</v>
      </c>
    </row>
    <row r="505" spans="1:9" x14ac:dyDescent="0.35">
      <c r="A505" s="60"/>
      <c r="B505" s="60"/>
      <c r="C505" s="62" t="s">
        <v>63</v>
      </c>
      <c r="D505" s="63">
        <v>-275411</v>
      </c>
      <c r="E505" s="63">
        <v>0</v>
      </c>
      <c r="F505" s="63">
        <v>-547901</v>
      </c>
      <c r="G505" s="63">
        <f t="shared" si="241"/>
        <v>-547901</v>
      </c>
    </row>
    <row r="506" spans="1:9" s="65" customFormat="1" x14ac:dyDescent="0.35">
      <c r="A506" s="60"/>
      <c r="B506" s="60"/>
      <c r="C506" s="60" t="s">
        <v>114</v>
      </c>
      <c r="D506" s="64">
        <f>SUM(D508:D508)</f>
        <v>-1961995</v>
      </c>
      <c r="E506" s="64">
        <f>SUM(E507:E508)</f>
        <v>-5593607</v>
      </c>
      <c r="F506" s="64">
        <f>SUM(F508:F509)</f>
        <v>-2061472</v>
      </c>
      <c r="G506" s="64">
        <f t="shared" si="241"/>
        <v>3532135</v>
      </c>
      <c r="H506" s="68"/>
      <c r="I506" s="68"/>
    </row>
    <row r="507" spans="1:9" x14ac:dyDescent="0.35">
      <c r="A507" s="62"/>
      <c r="B507" s="62"/>
      <c r="C507" s="62" t="s">
        <v>153</v>
      </c>
      <c r="D507" s="63">
        <v>0</v>
      </c>
      <c r="E507" s="63">
        <v>-5593607</v>
      </c>
      <c r="F507" s="63">
        <v>0</v>
      </c>
      <c r="G507" s="63">
        <f t="shared" si="241"/>
        <v>5593607</v>
      </c>
    </row>
    <row r="508" spans="1:9" x14ac:dyDescent="0.35">
      <c r="A508" s="62"/>
      <c r="B508" s="62"/>
      <c r="C508" s="62" t="s">
        <v>63</v>
      </c>
      <c r="D508" s="63">
        <v>-1961995</v>
      </c>
      <c r="E508" s="63">
        <v>0</v>
      </c>
      <c r="F508" s="63">
        <v>-2060310</v>
      </c>
      <c r="G508" s="63">
        <f t="shared" si="241"/>
        <v>-2060310</v>
      </c>
    </row>
    <row r="509" spans="1:9" x14ac:dyDescent="0.35">
      <c r="A509" s="62"/>
      <c r="B509" s="62"/>
      <c r="C509" s="62" t="s">
        <v>64</v>
      </c>
      <c r="D509" s="63">
        <v>0</v>
      </c>
      <c r="E509" s="63">
        <v>0</v>
      </c>
      <c r="F509" s="63">
        <v>-1162</v>
      </c>
      <c r="G509" s="63">
        <f t="shared" si="241"/>
        <v>-1162</v>
      </c>
    </row>
    <row r="510" spans="1:9" s="65" customFormat="1" x14ac:dyDescent="0.35">
      <c r="A510" s="60"/>
      <c r="B510" s="60"/>
      <c r="C510" s="60" t="s">
        <v>116</v>
      </c>
      <c r="D510" s="64">
        <v>-3971029</v>
      </c>
      <c r="E510" s="64">
        <f t="shared" ref="E510" si="242">D510</f>
        <v>-3971029</v>
      </c>
      <c r="F510" s="64">
        <v>-4268472</v>
      </c>
      <c r="G510" s="64">
        <f t="shared" si="241"/>
        <v>-297443</v>
      </c>
      <c r="H510" s="68"/>
      <c r="I510" s="68"/>
    </row>
    <row r="511" spans="1:9" ht="14.25" customHeight="1" x14ac:dyDescent="0.35">
      <c r="A511" s="60"/>
      <c r="B511" s="60" t="s">
        <v>140</v>
      </c>
      <c r="C511" s="60"/>
      <c r="D511" s="64">
        <f>SUM(D513:D515)</f>
        <v>-38548633</v>
      </c>
      <c r="E511" s="64">
        <f>SUM(E512:E515)</f>
        <v>-54683350</v>
      </c>
      <c r="F511" s="64">
        <f>SUM(F513:F515)</f>
        <v>-36725848</v>
      </c>
      <c r="G511" s="64">
        <f>F511-E511</f>
        <v>17957502</v>
      </c>
    </row>
    <row r="512" spans="1:9" ht="14.25" customHeight="1" x14ac:dyDescent="0.35">
      <c r="A512" s="62"/>
      <c r="B512" s="62"/>
      <c r="C512" s="62" t="s">
        <v>153</v>
      </c>
      <c r="D512" s="63">
        <v>0</v>
      </c>
      <c r="E512" s="63">
        <f>E523+E527</f>
        <v>-17070930</v>
      </c>
      <c r="F512" s="63">
        <v>0</v>
      </c>
      <c r="G512" s="63">
        <f>F512-E512</f>
        <v>17070930</v>
      </c>
    </row>
    <row r="513" spans="1:9" x14ac:dyDescent="0.35">
      <c r="A513" s="62"/>
      <c r="B513" s="62"/>
      <c r="C513" s="62" t="s">
        <v>62</v>
      </c>
      <c r="D513" s="63">
        <f>D517+D524</f>
        <v>-9385626</v>
      </c>
      <c r="E513" s="63">
        <f t="shared" ref="E513" si="243">E517+E524</f>
        <v>-10379182</v>
      </c>
      <c r="F513" s="63">
        <f>F517+F524+F528</f>
        <v>-11887416</v>
      </c>
      <c r="G513" s="63">
        <f t="shared" ref="G513:G515" si="244">F513-E513</f>
        <v>-1508234</v>
      </c>
    </row>
    <row r="514" spans="1:9" x14ac:dyDescent="0.35">
      <c r="A514" s="62"/>
      <c r="B514" s="62"/>
      <c r="C514" s="62" t="s">
        <v>63</v>
      </c>
      <c r="D514" s="63">
        <f>D518+D525+D529</f>
        <v>-26336948</v>
      </c>
      <c r="E514" s="63">
        <f t="shared" ref="E514:F514" si="245">E518+E525+E529</f>
        <v>-24403879</v>
      </c>
      <c r="F514" s="63">
        <f t="shared" si="245"/>
        <v>-19935330</v>
      </c>
      <c r="G514" s="63">
        <f t="shared" si="244"/>
        <v>4468549</v>
      </c>
    </row>
    <row r="515" spans="1:9" x14ac:dyDescent="0.35">
      <c r="A515" s="62"/>
      <c r="B515" s="62"/>
      <c r="C515" s="62" t="s">
        <v>108</v>
      </c>
      <c r="D515" s="63">
        <f>D530</f>
        <v>-2826059</v>
      </c>
      <c r="E515" s="63">
        <f>E530+E519</f>
        <v>-2829359</v>
      </c>
      <c r="F515" s="63">
        <f>F530+F519+F521</f>
        <v>-4903102</v>
      </c>
      <c r="G515" s="63">
        <f t="shared" si="244"/>
        <v>-2073743</v>
      </c>
    </row>
    <row r="516" spans="1:9" x14ac:dyDescent="0.35">
      <c r="A516" s="60"/>
      <c r="B516" s="60"/>
      <c r="C516" s="60" t="s">
        <v>111</v>
      </c>
      <c r="D516" s="64">
        <f>SUM(D517:D518)</f>
        <v>-29323109</v>
      </c>
      <c r="E516" s="64">
        <f>SUM(E517:E519)</f>
        <v>-34786361</v>
      </c>
      <c r="F516" s="64">
        <f>SUM(F517:F519)</f>
        <v>-23654877</v>
      </c>
      <c r="G516" s="64">
        <f>F516-E516</f>
        <v>11131484</v>
      </c>
    </row>
    <row r="517" spans="1:9" x14ac:dyDescent="0.35">
      <c r="A517" s="62"/>
      <c r="B517" s="62"/>
      <c r="C517" s="62" t="s">
        <v>62</v>
      </c>
      <c r="D517" s="63">
        <v>-8462308</v>
      </c>
      <c r="E517" s="63">
        <v>-10379182</v>
      </c>
      <c r="F517" s="63">
        <v>-8954981</v>
      </c>
      <c r="G517" s="63">
        <f t="shared" ref="G517:G521" si="246">F517-E517</f>
        <v>1424201</v>
      </c>
    </row>
    <row r="518" spans="1:9" x14ac:dyDescent="0.35">
      <c r="A518" s="60"/>
      <c r="B518" s="60"/>
      <c r="C518" s="62" t="s">
        <v>63</v>
      </c>
      <c r="D518" s="63">
        <v>-20860801</v>
      </c>
      <c r="E518" s="63">
        <v>-24403879</v>
      </c>
      <c r="F518" s="63">
        <v>-14696596</v>
      </c>
      <c r="G518" s="63">
        <f t="shared" si="246"/>
        <v>9707283</v>
      </c>
    </row>
    <row r="519" spans="1:9" x14ac:dyDescent="0.35">
      <c r="A519" s="60"/>
      <c r="B519" s="60"/>
      <c r="C519" s="62" t="s">
        <v>64</v>
      </c>
      <c r="D519" s="63">
        <v>0</v>
      </c>
      <c r="E519" s="63">
        <v>-3300</v>
      </c>
      <c r="F519" s="63">
        <v>-3300</v>
      </c>
      <c r="G519" s="63">
        <f t="shared" si="246"/>
        <v>0</v>
      </c>
    </row>
    <row r="520" spans="1:9" x14ac:dyDescent="0.35">
      <c r="A520" s="60"/>
      <c r="B520" s="60"/>
      <c r="C520" s="62" t="s">
        <v>112</v>
      </c>
      <c r="D520" s="64">
        <f>D521</f>
        <v>0</v>
      </c>
      <c r="E520" s="64">
        <f t="shared" ref="E520:F520" si="247">E521</f>
        <v>0</v>
      </c>
      <c r="F520" s="63">
        <f t="shared" si="247"/>
        <v>337</v>
      </c>
      <c r="G520" s="63">
        <f t="shared" si="246"/>
        <v>337</v>
      </c>
    </row>
    <row r="521" spans="1:9" x14ac:dyDescent="0.35">
      <c r="A521" s="60"/>
      <c r="B521" s="60"/>
      <c r="C521" s="62" t="s">
        <v>64</v>
      </c>
      <c r="D521" s="63">
        <v>0</v>
      </c>
      <c r="E521" s="63">
        <v>0</v>
      </c>
      <c r="F521" s="63">
        <v>337</v>
      </c>
      <c r="G521" s="63">
        <f t="shared" si="246"/>
        <v>337</v>
      </c>
    </row>
    <row r="522" spans="1:9" x14ac:dyDescent="0.35">
      <c r="A522" s="60"/>
      <c r="B522" s="60"/>
      <c r="C522" s="60" t="s">
        <v>113</v>
      </c>
      <c r="D522" s="64">
        <f>SUM(D524:D525)</f>
        <v>-3530613</v>
      </c>
      <c r="E522" s="64">
        <f>SUM(E523:E525)</f>
        <v>-6572805</v>
      </c>
      <c r="F522" s="64">
        <f>SUM(F524:F525)</f>
        <v>-4740911</v>
      </c>
      <c r="G522" s="64">
        <f>F522-E522</f>
        <v>1831894</v>
      </c>
    </row>
    <row r="523" spans="1:9" x14ac:dyDescent="0.35">
      <c r="A523" s="62"/>
      <c r="B523" s="62"/>
      <c r="C523" s="62" t="s">
        <v>153</v>
      </c>
      <c r="D523" s="63">
        <v>0</v>
      </c>
      <c r="E523" s="63">
        <v>-6572805</v>
      </c>
      <c r="F523" s="63">
        <v>0</v>
      </c>
      <c r="G523" s="63">
        <f>F523-E523</f>
        <v>6572805</v>
      </c>
    </row>
    <row r="524" spans="1:9" x14ac:dyDescent="0.35">
      <c r="A524" s="62"/>
      <c r="B524" s="62"/>
      <c r="C524" s="62" t="s">
        <v>62</v>
      </c>
      <c r="D524" s="63">
        <v>-923318</v>
      </c>
      <c r="E524" s="63">
        <v>0</v>
      </c>
      <c r="F524" s="63">
        <v>-2250024</v>
      </c>
      <c r="G524" s="63">
        <f t="shared" ref="G524:G531" si="248">F524-E524</f>
        <v>-2250024</v>
      </c>
    </row>
    <row r="525" spans="1:9" x14ac:dyDescent="0.35">
      <c r="A525" s="60"/>
      <c r="B525" s="60"/>
      <c r="C525" s="62" t="s">
        <v>63</v>
      </c>
      <c r="D525" s="63">
        <v>-2607295</v>
      </c>
      <c r="E525" s="63">
        <v>0</v>
      </c>
      <c r="F525" s="63">
        <v>-2490887</v>
      </c>
      <c r="G525" s="63">
        <f t="shared" si="248"/>
        <v>-2490887</v>
      </c>
    </row>
    <row r="526" spans="1:9" s="65" customFormat="1" x14ac:dyDescent="0.35">
      <c r="A526" s="60"/>
      <c r="B526" s="60"/>
      <c r="C526" s="60" t="s">
        <v>114</v>
      </c>
      <c r="D526" s="64">
        <f>SUM(D529:D529)</f>
        <v>-2868852</v>
      </c>
      <c r="E526" s="64">
        <f>SUM(E527:E529)</f>
        <v>-10498125</v>
      </c>
      <c r="F526" s="64">
        <f>SUM(F528:F529)</f>
        <v>-3430258</v>
      </c>
      <c r="G526" s="64">
        <f t="shared" si="248"/>
        <v>7067867</v>
      </c>
      <c r="H526" s="68"/>
      <c r="I526" s="68"/>
    </row>
    <row r="527" spans="1:9" x14ac:dyDescent="0.35">
      <c r="A527" s="62"/>
      <c r="B527" s="62"/>
      <c r="C527" s="62" t="s">
        <v>153</v>
      </c>
      <c r="D527" s="63">
        <v>0</v>
      </c>
      <c r="E527" s="63">
        <v>-10498125</v>
      </c>
      <c r="F527" s="63">
        <v>0</v>
      </c>
      <c r="G527" s="63">
        <f t="shared" si="248"/>
        <v>10498125</v>
      </c>
    </row>
    <row r="528" spans="1:9" s="65" customFormat="1" x14ac:dyDescent="0.35">
      <c r="A528" s="60"/>
      <c r="B528" s="60"/>
      <c r="C528" s="62" t="s">
        <v>62</v>
      </c>
      <c r="D528" s="63">
        <v>0</v>
      </c>
      <c r="E528" s="63">
        <v>0</v>
      </c>
      <c r="F528" s="63">
        <v>-682411</v>
      </c>
      <c r="G528" s="63">
        <f t="shared" si="248"/>
        <v>-682411</v>
      </c>
      <c r="H528" s="68"/>
      <c r="I528" s="68"/>
    </row>
    <row r="529" spans="1:9" x14ac:dyDescent="0.35">
      <c r="A529" s="62"/>
      <c r="B529" s="62"/>
      <c r="C529" s="62" t="s">
        <v>63</v>
      </c>
      <c r="D529" s="63">
        <v>-2868852</v>
      </c>
      <c r="E529" s="63">
        <v>0</v>
      </c>
      <c r="F529" s="63">
        <v>-2747847</v>
      </c>
      <c r="G529" s="63">
        <f t="shared" si="248"/>
        <v>-2747847</v>
      </c>
    </row>
    <row r="530" spans="1:9" s="65" customFormat="1" x14ac:dyDescent="0.35">
      <c r="A530" s="60"/>
      <c r="B530" s="60"/>
      <c r="C530" s="60" t="s">
        <v>116</v>
      </c>
      <c r="D530" s="64">
        <v>-2826059</v>
      </c>
      <c r="E530" s="64">
        <f t="shared" ref="E530" si="249">D530</f>
        <v>-2826059</v>
      </c>
      <c r="F530" s="64">
        <v>-4900139</v>
      </c>
      <c r="G530" s="64">
        <f t="shared" si="248"/>
        <v>-2074080</v>
      </c>
      <c r="H530" s="68"/>
      <c r="I530" s="68"/>
    </row>
    <row r="531" spans="1:9" s="65" customFormat="1" x14ac:dyDescent="0.35">
      <c r="A531" s="90" t="s">
        <v>141</v>
      </c>
      <c r="D531" s="73">
        <f>SUM(D532:D533)</f>
        <v>-1711089</v>
      </c>
      <c r="E531" s="73">
        <f t="shared" ref="E531:F531" si="250">SUM(E532:E533)</f>
        <v>-2786812</v>
      </c>
      <c r="F531" s="73">
        <f t="shared" si="250"/>
        <v>-1606185</v>
      </c>
      <c r="G531" s="64">
        <f t="shared" si="248"/>
        <v>1180627</v>
      </c>
      <c r="H531" s="68"/>
      <c r="I531" s="68"/>
    </row>
    <row r="532" spans="1:9" x14ac:dyDescent="0.35">
      <c r="A532" s="62"/>
      <c r="B532" s="62" t="s">
        <v>111</v>
      </c>
      <c r="C532" s="62"/>
      <c r="D532" s="63">
        <f>D540</f>
        <v>-601039</v>
      </c>
      <c r="E532" s="63">
        <f t="shared" ref="E532:F532" si="251">E540</f>
        <v>-1676762</v>
      </c>
      <c r="F532" s="63">
        <f t="shared" si="251"/>
        <v>-1318482</v>
      </c>
      <c r="G532" s="63">
        <f t="shared" ref="G532:G533" si="252">F532-E532</f>
        <v>358280</v>
      </c>
    </row>
    <row r="533" spans="1:9" x14ac:dyDescent="0.35">
      <c r="A533" s="62"/>
      <c r="B533" s="62" t="s">
        <v>113</v>
      </c>
      <c r="C533" s="62"/>
      <c r="D533" s="63">
        <f>D545</f>
        <v>-1110050</v>
      </c>
      <c r="E533" s="63">
        <f t="shared" ref="E533:F533" si="253">E545</f>
        <v>-1110050</v>
      </c>
      <c r="F533" s="63">
        <f t="shared" si="253"/>
        <v>-287703</v>
      </c>
      <c r="G533" s="63">
        <f t="shared" si="252"/>
        <v>822347</v>
      </c>
    </row>
    <row r="534" spans="1:9" x14ac:dyDescent="0.35">
      <c r="A534" s="60"/>
      <c r="B534" s="60" t="s">
        <v>123</v>
      </c>
      <c r="C534" s="60"/>
      <c r="D534" s="64">
        <f>SUM(D536:D539)</f>
        <v>-1711089</v>
      </c>
      <c r="E534" s="64">
        <f>SUM(E535:E539)</f>
        <v>-2786812</v>
      </c>
      <c r="F534" s="64">
        <f>SUM(F536:F539)</f>
        <v>-1606185</v>
      </c>
      <c r="G534" s="64">
        <f>F534-E534</f>
        <v>1180627</v>
      </c>
    </row>
    <row r="535" spans="1:9" x14ac:dyDescent="0.35">
      <c r="A535" s="60"/>
      <c r="B535" s="60"/>
      <c r="C535" s="60" t="s">
        <v>153</v>
      </c>
      <c r="D535" s="64">
        <v>0</v>
      </c>
      <c r="E535" s="64">
        <f>E546</f>
        <v>-1110050</v>
      </c>
      <c r="F535" s="64">
        <v>0</v>
      </c>
      <c r="G535" s="64">
        <f>F535-E535</f>
        <v>1110050</v>
      </c>
    </row>
    <row r="536" spans="1:9" x14ac:dyDescent="0.35">
      <c r="A536" s="62"/>
      <c r="B536" s="62"/>
      <c r="C536" s="62" t="s">
        <v>62</v>
      </c>
      <c r="D536" s="63">
        <f>D541+D547</f>
        <v>-698851</v>
      </c>
      <c r="E536" s="63">
        <f t="shared" ref="E536:F536" si="254">E541+E547</f>
        <v>-634611</v>
      </c>
      <c r="F536" s="63">
        <f t="shared" si="254"/>
        <v>-728923</v>
      </c>
      <c r="G536" s="63">
        <f t="shared" ref="G536:G539" si="255">F536-E536</f>
        <v>-94312</v>
      </c>
    </row>
    <row r="537" spans="1:9" x14ac:dyDescent="0.35">
      <c r="A537" s="62"/>
      <c r="B537" s="62"/>
      <c r="C537" s="62" t="s">
        <v>63</v>
      </c>
      <c r="D537" s="63">
        <f>D542+D548</f>
        <v>-1010473</v>
      </c>
      <c r="E537" s="63">
        <f t="shared" ref="E537:F537" si="256">E542+E548</f>
        <v>-325786</v>
      </c>
      <c r="F537" s="63">
        <f t="shared" si="256"/>
        <v>-321612</v>
      </c>
      <c r="G537" s="63">
        <f t="shared" si="255"/>
        <v>4174</v>
      </c>
    </row>
    <row r="538" spans="1:9" x14ac:dyDescent="0.35">
      <c r="A538" s="62"/>
      <c r="B538" s="62"/>
      <c r="C538" s="62" t="s">
        <v>117</v>
      </c>
      <c r="D538" s="63">
        <v>0</v>
      </c>
      <c r="E538" s="63">
        <v>0</v>
      </c>
      <c r="F538" s="63">
        <f>F543</f>
        <v>-400000</v>
      </c>
      <c r="G538" s="63">
        <f t="shared" si="255"/>
        <v>-400000</v>
      </c>
    </row>
    <row r="539" spans="1:9" x14ac:dyDescent="0.35">
      <c r="A539" s="62"/>
      <c r="B539" s="62"/>
      <c r="C539" s="62" t="s">
        <v>107</v>
      </c>
      <c r="D539" s="63">
        <f>D544</f>
        <v>-1765</v>
      </c>
      <c r="E539" s="63">
        <f t="shared" ref="E539:F539" si="257">E544</f>
        <v>-716365</v>
      </c>
      <c r="F539" s="63">
        <f t="shared" si="257"/>
        <v>-155650</v>
      </c>
      <c r="G539" s="63">
        <f t="shared" si="255"/>
        <v>560715</v>
      </c>
    </row>
    <row r="540" spans="1:9" x14ac:dyDescent="0.35">
      <c r="A540" s="60"/>
      <c r="B540" s="60"/>
      <c r="C540" s="60" t="s">
        <v>111</v>
      </c>
      <c r="D540" s="64">
        <f>SUM(D541:D544)</f>
        <v>-601039</v>
      </c>
      <c r="E540" s="64">
        <f>SUM(E541:E544)</f>
        <v>-1676762</v>
      </c>
      <c r="F540" s="64">
        <f>SUM(F541:F544)</f>
        <v>-1318482</v>
      </c>
      <c r="G540" s="64">
        <f>F540-E540</f>
        <v>358280</v>
      </c>
    </row>
    <row r="541" spans="1:9" x14ac:dyDescent="0.35">
      <c r="A541" s="62"/>
      <c r="B541" s="62"/>
      <c r="C541" s="62" t="s">
        <v>62</v>
      </c>
      <c r="D541" s="63">
        <v>-330301</v>
      </c>
      <c r="E541" s="63">
        <v>-634611</v>
      </c>
      <c r="F541" s="63">
        <v>-554020</v>
      </c>
      <c r="G541" s="63">
        <f t="shared" ref="G541:G544" si="258">F541-E541</f>
        <v>80591</v>
      </c>
    </row>
    <row r="542" spans="1:9" x14ac:dyDescent="0.35">
      <c r="A542" s="62"/>
      <c r="B542" s="62"/>
      <c r="C542" s="62" t="s">
        <v>63</v>
      </c>
      <c r="D542" s="63">
        <v>-268973</v>
      </c>
      <c r="E542" s="63">
        <v>-325786</v>
      </c>
      <c r="F542" s="63">
        <v>-208812</v>
      </c>
      <c r="G542" s="63">
        <f t="shared" si="258"/>
        <v>116974</v>
      </c>
    </row>
    <row r="543" spans="1:9" x14ac:dyDescent="0.35">
      <c r="A543" s="62"/>
      <c r="B543" s="62"/>
      <c r="C543" s="62" t="s">
        <v>117</v>
      </c>
      <c r="D543" s="63">
        <v>0</v>
      </c>
      <c r="E543" s="63">
        <v>0</v>
      </c>
      <c r="F543" s="63">
        <v>-400000</v>
      </c>
      <c r="G543" s="63">
        <f t="shared" si="258"/>
        <v>-400000</v>
      </c>
    </row>
    <row r="544" spans="1:9" x14ac:dyDescent="0.35">
      <c r="A544" s="62"/>
      <c r="B544" s="62"/>
      <c r="C544" s="62" t="s">
        <v>107</v>
      </c>
      <c r="D544" s="63">
        <v>-1765</v>
      </c>
      <c r="E544" s="63">
        <v>-716365</v>
      </c>
      <c r="F544" s="63">
        <v>-155650</v>
      </c>
      <c r="G544" s="63">
        <f t="shared" si="258"/>
        <v>560715</v>
      </c>
    </row>
    <row r="545" spans="1:9" x14ac:dyDescent="0.35">
      <c r="A545" s="60"/>
      <c r="B545" s="60"/>
      <c r="C545" s="60" t="s">
        <v>113</v>
      </c>
      <c r="D545" s="64">
        <f>SUM(D547:D548)</f>
        <v>-1110050</v>
      </c>
      <c r="E545" s="64">
        <f>SUM(E546:E548)</f>
        <v>-1110050</v>
      </c>
      <c r="F545" s="64">
        <f>SUM(F547:F548)</f>
        <v>-287703</v>
      </c>
      <c r="G545" s="64">
        <f>F545-E545</f>
        <v>822347</v>
      </c>
    </row>
    <row r="546" spans="1:9" x14ac:dyDescent="0.35">
      <c r="A546" s="62"/>
      <c r="B546" s="62"/>
      <c r="C546" s="62" t="s">
        <v>153</v>
      </c>
      <c r="D546" s="63">
        <v>0</v>
      </c>
      <c r="E546" s="63">
        <v>-1110050</v>
      </c>
      <c r="F546" s="63">
        <v>0</v>
      </c>
      <c r="G546" s="63">
        <f>F546-E546</f>
        <v>1110050</v>
      </c>
    </row>
    <row r="547" spans="1:9" x14ac:dyDescent="0.35">
      <c r="A547" s="62"/>
      <c r="B547" s="62"/>
      <c r="C547" s="62" t="s">
        <v>62</v>
      </c>
      <c r="D547" s="63">
        <v>-368550</v>
      </c>
      <c r="E547" s="63">
        <v>0</v>
      </c>
      <c r="F547" s="63">
        <v>-174903</v>
      </c>
      <c r="G547" s="63">
        <f t="shared" ref="G547:G548" si="259">F547-E547</f>
        <v>-174903</v>
      </c>
    </row>
    <row r="548" spans="1:9" x14ac:dyDescent="0.35">
      <c r="A548" s="60"/>
      <c r="B548" s="60"/>
      <c r="C548" s="62" t="s">
        <v>63</v>
      </c>
      <c r="D548" s="63">
        <v>-741500</v>
      </c>
      <c r="E548" s="63">
        <v>0</v>
      </c>
      <c r="F548" s="63">
        <v>-112800</v>
      </c>
      <c r="G548" s="63">
        <f t="shared" si="259"/>
        <v>-112800</v>
      </c>
    </row>
    <row r="549" spans="1:9" s="65" customFormat="1" ht="15" x14ac:dyDescent="0.35">
      <c r="A549" s="89" t="s">
        <v>158</v>
      </c>
      <c r="B549" s="60"/>
      <c r="C549" s="60"/>
      <c r="D549" s="64">
        <f>SUM(D550:D553)</f>
        <v>-1539216</v>
      </c>
      <c r="E549" s="64">
        <f t="shared" ref="E549:F549" si="260">SUM(E550:E553)</f>
        <v>-4877634</v>
      </c>
      <c r="F549" s="64">
        <f t="shared" si="260"/>
        <v>-2148512</v>
      </c>
      <c r="G549" s="64">
        <f>F549-E549</f>
        <v>2729122</v>
      </c>
      <c r="H549" s="68"/>
      <c r="I549" s="68"/>
    </row>
    <row r="550" spans="1:9" x14ac:dyDescent="0.35">
      <c r="A550" s="62"/>
      <c r="B550" s="62" t="s">
        <v>111</v>
      </c>
      <c r="C550" s="62"/>
      <c r="D550" s="63">
        <f>D557+D567</f>
        <v>-1433549</v>
      </c>
      <c r="E550" s="63">
        <f t="shared" ref="E550:F550" si="261">E557+E567</f>
        <v>-2018189</v>
      </c>
      <c r="F550" s="63">
        <f t="shared" si="261"/>
        <v>-1529825</v>
      </c>
      <c r="G550" s="63">
        <f t="shared" ref="G550:G552" si="262">F550-E550</f>
        <v>488364</v>
      </c>
    </row>
    <row r="551" spans="1:9" x14ac:dyDescent="0.35">
      <c r="A551" s="62"/>
      <c r="B551" s="62" t="s">
        <v>113</v>
      </c>
      <c r="C551" s="62"/>
      <c r="D551" s="63">
        <f>D573</f>
        <v>-97261</v>
      </c>
      <c r="E551" s="63">
        <f t="shared" ref="E551:F551" si="263">E573</f>
        <v>-2851039</v>
      </c>
      <c r="F551" s="63">
        <f t="shared" si="263"/>
        <v>-609846</v>
      </c>
      <c r="G551" s="63">
        <f t="shared" si="262"/>
        <v>2241193</v>
      </c>
    </row>
    <row r="552" spans="1:9" s="86" customFormat="1" x14ac:dyDescent="0.35">
      <c r="A552" s="88"/>
      <c r="B552" s="62" t="s">
        <v>114</v>
      </c>
      <c r="C552" s="62"/>
      <c r="D552" s="63">
        <v>0</v>
      </c>
      <c r="E552" s="63">
        <v>0</v>
      </c>
      <c r="F552" s="63">
        <f>F579</f>
        <v>-248</v>
      </c>
      <c r="G552" s="63">
        <f t="shared" si="262"/>
        <v>-248</v>
      </c>
      <c r="H552" s="80"/>
      <c r="I552" s="80"/>
    </row>
    <row r="553" spans="1:9" x14ac:dyDescent="0.35">
      <c r="A553" s="62"/>
      <c r="B553" s="62" t="s">
        <v>115</v>
      </c>
      <c r="C553" s="62"/>
      <c r="D553" s="63">
        <f>D582</f>
        <v>-8406</v>
      </c>
      <c r="E553" s="63">
        <f t="shared" ref="E553:F553" si="264">E582</f>
        <v>-8406</v>
      </c>
      <c r="F553" s="63">
        <f t="shared" si="264"/>
        <v>-8593</v>
      </c>
      <c r="G553" s="63">
        <f t="shared" ref="G553" si="265">F553-E553</f>
        <v>-187</v>
      </c>
    </row>
    <row r="554" spans="1:9" x14ac:dyDescent="0.35">
      <c r="A554" s="60"/>
      <c r="B554" s="60" t="s">
        <v>123</v>
      </c>
      <c r="C554" s="60"/>
      <c r="D554" s="64">
        <f>SUM(D555:D556)</f>
        <v>-304789</v>
      </c>
      <c r="E554" s="64">
        <f>SUM(E555:E556)</f>
        <v>-407279</v>
      </c>
      <c r="F554" s="64">
        <f>SUM(F555:F556)</f>
        <v>-344625</v>
      </c>
      <c r="G554" s="64">
        <f>F554-E554</f>
        <v>62654</v>
      </c>
    </row>
    <row r="555" spans="1:9" x14ac:dyDescent="0.35">
      <c r="A555" s="62"/>
      <c r="B555" s="62"/>
      <c r="C555" s="62" t="s">
        <v>62</v>
      </c>
      <c r="D555" s="63">
        <f>D558</f>
        <v>-172029</v>
      </c>
      <c r="E555" s="63">
        <f t="shared" ref="E555:F555" si="266">E558</f>
        <v>-282684</v>
      </c>
      <c r="F555" s="63">
        <f t="shared" si="266"/>
        <v>-260499</v>
      </c>
      <c r="G555" s="63">
        <f t="shared" ref="G555:G556" si="267">F555-E555</f>
        <v>22185</v>
      </c>
    </row>
    <row r="556" spans="1:9" x14ac:dyDescent="0.35">
      <c r="A556" s="62"/>
      <c r="B556" s="62"/>
      <c r="C556" s="62" t="s">
        <v>63</v>
      </c>
      <c r="D556" s="63">
        <f>D559</f>
        <v>-132760</v>
      </c>
      <c r="E556" s="63">
        <f t="shared" ref="E556:F556" si="268">E559</f>
        <v>-124595</v>
      </c>
      <c r="F556" s="63">
        <f t="shared" si="268"/>
        <v>-84126</v>
      </c>
      <c r="G556" s="63">
        <f t="shared" si="267"/>
        <v>40469</v>
      </c>
    </row>
    <row r="557" spans="1:9" x14ac:dyDescent="0.35">
      <c r="A557" s="60"/>
      <c r="B557" s="60"/>
      <c r="C557" s="60" t="s">
        <v>111</v>
      </c>
      <c r="D557" s="64">
        <f>SUM(D558:D559)</f>
        <v>-304789</v>
      </c>
      <c r="E557" s="64">
        <f t="shared" ref="E557" si="269">SUM(E558:E559)</f>
        <v>-407279</v>
      </c>
      <c r="F557" s="64">
        <f t="shared" ref="F557" si="270">SUM(F558:F559)</f>
        <v>-344625</v>
      </c>
      <c r="G557" s="64">
        <f>F557-E557</f>
        <v>62654</v>
      </c>
    </row>
    <row r="558" spans="1:9" x14ac:dyDescent="0.35">
      <c r="A558" s="62"/>
      <c r="B558" s="62"/>
      <c r="C558" s="62" t="s">
        <v>62</v>
      </c>
      <c r="D558" s="63">
        <v>-172029</v>
      </c>
      <c r="E558" s="63">
        <v>-282684</v>
      </c>
      <c r="F558" s="63">
        <v>-260499</v>
      </c>
      <c r="G558" s="63">
        <f t="shared" ref="G558:G559" si="271">F558-E558</f>
        <v>22185</v>
      </c>
    </row>
    <row r="559" spans="1:9" x14ac:dyDescent="0.35">
      <c r="A559" s="62"/>
      <c r="B559" s="62"/>
      <c r="C559" s="62" t="s">
        <v>63</v>
      </c>
      <c r="D559" s="63">
        <v>-132760</v>
      </c>
      <c r="E559" s="63">
        <v>-124595</v>
      </c>
      <c r="F559" s="63">
        <v>-84126</v>
      </c>
      <c r="G559" s="63">
        <f t="shared" si="271"/>
        <v>40469</v>
      </c>
    </row>
    <row r="560" spans="1:9" ht="14.25" customHeight="1" x14ac:dyDescent="0.35">
      <c r="A560" s="60"/>
      <c r="B560" s="60" t="s">
        <v>138</v>
      </c>
      <c r="C560" s="60"/>
      <c r="D560" s="64">
        <f>SUM(D562:D566)</f>
        <v>-1234427</v>
      </c>
      <c r="E560" s="64">
        <f>SUM(E561:E566)</f>
        <v>-4470355</v>
      </c>
      <c r="F560" s="64">
        <f>SUM(F562:F566)</f>
        <v>-1803887</v>
      </c>
      <c r="G560" s="64">
        <f>F560-E560</f>
        <v>2666468</v>
      </c>
    </row>
    <row r="561" spans="1:7" ht="14.25" customHeight="1" x14ac:dyDescent="0.35">
      <c r="A561" s="62"/>
      <c r="B561" s="62"/>
      <c r="C561" s="62" t="s">
        <v>153</v>
      </c>
      <c r="D561" s="63">
        <v>0</v>
      </c>
      <c r="E561" s="63">
        <v>-2851039</v>
      </c>
      <c r="F561" s="63">
        <v>0</v>
      </c>
      <c r="G561" s="63">
        <f>F561-E561</f>
        <v>2851039</v>
      </c>
    </row>
    <row r="562" spans="1:7" x14ac:dyDescent="0.35">
      <c r="A562" s="62"/>
      <c r="B562" s="62"/>
      <c r="C562" s="62" t="s">
        <v>62</v>
      </c>
      <c r="D562" s="63">
        <f>D568+D575</f>
        <v>-918954</v>
      </c>
      <c r="E562" s="63">
        <f t="shared" ref="E562:F562" si="272">E568+E575</f>
        <v>-832618</v>
      </c>
      <c r="F562" s="63">
        <f t="shared" si="272"/>
        <v>-886035</v>
      </c>
      <c r="G562" s="63">
        <f t="shared" ref="G562:G566" si="273">F562-E562</f>
        <v>-53417</v>
      </c>
    </row>
    <row r="563" spans="1:7" x14ac:dyDescent="0.35">
      <c r="A563" s="62"/>
      <c r="B563" s="62"/>
      <c r="C563" s="62" t="s">
        <v>63</v>
      </c>
      <c r="D563" s="63">
        <f>D569+D576</f>
        <v>-296624</v>
      </c>
      <c r="E563" s="63">
        <f t="shared" ref="E563" si="274">E569+E576</f>
        <v>-427232</v>
      </c>
      <c r="F563" s="63">
        <f>F569+F576+F580</f>
        <v>-385797</v>
      </c>
      <c r="G563" s="63">
        <f t="shared" si="273"/>
        <v>41435</v>
      </c>
    </row>
    <row r="564" spans="1:7" x14ac:dyDescent="0.35">
      <c r="A564" s="62"/>
      <c r="B564" s="62"/>
      <c r="C564" s="62" t="s">
        <v>106</v>
      </c>
      <c r="D564" s="63">
        <v>0</v>
      </c>
      <c r="E564" s="63">
        <v>0</v>
      </c>
      <c r="F564" s="63">
        <f>F570+F577</f>
        <v>-1500</v>
      </c>
      <c r="G564" s="63">
        <f t="shared" si="273"/>
        <v>-1500</v>
      </c>
    </row>
    <row r="565" spans="1:7" x14ac:dyDescent="0.35">
      <c r="A565" s="62"/>
      <c r="B565" s="62"/>
      <c r="C565" s="62" t="s">
        <v>107</v>
      </c>
      <c r="D565" s="63">
        <f>D578</f>
        <v>-10000</v>
      </c>
      <c r="E565" s="63">
        <f>E571</f>
        <v>-349000</v>
      </c>
      <c r="F565" s="63">
        <f>F578+F571</f>
        <v>-519944</v>
      </c>
      <c r="G565" s="63">
        <f t="shared" si="273"/>
        <v>-170944</v>
      </c>
    </row>
    <row r="566" spans="1:7" x14ac:dyDescent="0.35">
      <c r="A566" s="62"/>
      <c r="B566" s="62"/>
      <c r="C566" s="62" t="s">
        <v>108</v>
      </c>
      <c r="D566" s="63">
        <f>D582+D572</f>
        <v>-8849</v>
      </c>
      <c r="E566" s="63">
        <f t="shared" ref="E566" si="275">E582+E572</f>
        <v>-10466</v>
      </c>
      <c r="F566" s="63">
        <f>F582+F572+F581</f>
        <v>-10611</v>
      </c>
      <c r="G566" s="63">
        <f t="shared" si="273"/>
        <v>-145</v>
      </c>
    </row>
    <row r="567" spans="1:7" x14ac:dyDescent="0.35">
      <c r="A567" s="60"/>
      <c r="B567" s="60"/>
      <c r="C567" s="60" t="s">
        <v>111</v>
      </c>
      <c r="D567" s="64">
        <f>SUM(D568:D572)</f>
        <v>-1128760</v>
      </c>
      <c r="E567" s="64">
        <f t="shared" ref="E567" si="276">SUM(E568:E572)</f>
        <v>-1610910</v>
      </c>
      <c r="F567" s="64">
        <f t="shared" ref="F567" si="277">SUM(F568:F572)</f>
        <v>-1185200</v>
      </c>
      <c r="G567" s="64">
        <f>F567-E567</f>
        <v>425710</v>
      </c>
    </row>
    <row r="568" spans="1:7" x14ac:dyDescent="0.35">
      <c r="A568" s="62"/>
      <c r="B568" s="62"/>
      <c r="C568" s="62" t="s">
        <v>62</v>
      </c>
      <c r="D568" s="63">
        <v>-858150</v>
      </c>
      <c r="E568" s="63">
        <v>-832618</v>
      </c>
      <c r="F568" s="63">
        <v>-677520</v>
      </c>
      <c r="G568" s="63">
        <f t="shared" ref="G568:G572" si="278">F568-E568</f>
        <v>155098</v>
      </c>
    </row>
    <row r="569" spans="1:7" x14ac:dyDescent="0.35">
      <c r="A569" s="60"/>
      <c r="B569" s="60"/>
      <c r="C569" s="62" t="s">
        <v>63</v>
      </c>
      <c r="D569" s="63">
        <v>-270167</v>
      </c>
      <c r="E569" s="63">
        <v>-427232</v>
      </c>
      <c r="F569" s="63">
        <v>-244945</v>
      </c>
      <c r="G569" s="63">
        <f t="shared" si="278"/>
        <v>182287</v>
      </c>
    </row>
    <row r="570" spans="1:7" x14ac:dyDescent="0.35">
      <c r="A570" s="60"/>
      <c r="B570" s="60"/>
      <c r="C570" s="62" t="s">
        <v>106</v>
      </c>
      <c r="D570" s="63">
        <v>0</v>
      </c>
      <c r="E570" s="63">
        <v>0</v>
      </c>
      <c r="F570" s="63">
        <v>-750</v>
      </c>
      <c r="G570" s="63">
        <f t="shared" si="278"/>
        <v>-750</v>
      </c>
    </row>
    <row r="571" spans="1:7" x14ac:dyDescent="0.35">
      <c r="A571" s="60"/>
      <c r="B571" s="60"/>
      <c r="C571" s="62" t="s">
        <v>107</v>
      </c>
      <c r="D571" s="63">
        <v>0</v>
      </c>
      <c r="E571" s="63">
        <v>-349000</v>
      </c>
      <c r="F571" s="63">
        <v>-259972</v>
      </c>
      <c r="G571" s="63">
        <f t="shared" si="278"/>
        <v>89028</v>
      </c>
    </row>
    <row r="572" spans="1:7" x14ac:dyDescent="0.35">
      <c r="A572" s="60"/>
      <c r="B572" s="60"/>
      <c r="C572" s="62" t="s">
        <v>64</v>
      </c>
      <c r="D572" s="63">
        <v>-443</v>
      </c>
      <c r="E572" s="63">
        <v>-2060</v>
      </c>
      <c r="F572" s="63">
        <v>-2013</v>
      </c>
      <c r="G572" s="63">
        <f t="shared" si="278"/>
        <v>47</v>
      </c>
    </row>
    <row r="573" spans="1:7" x14ac:dyDescent="0.35">
      <c r="A573" s="60"/>
      <c r="B573" s="60"/>
      <c r="C573" s="60" t="s">
        <v>113</v>
      </c>
      <c r="D573" s="64">
        <f>SUM(D575:D578)</f>
        <v>-97261</v>
      </c>
      <c r="E573" s="64">
        <f>SUM(E574:E578)</f>
        <v>-2851039</v>
      </c>
      <c r="F573" s="64">
        <f t="shared" ref="F573" si="279">SUM(F575:F578)</f>
        <v>-609846</v>
      </c>
      <c r="G573" s="64">
        <f>F573-E573</f>
        <v>2241193</v>
      </c>
    </row>
    <row r="574" spans="1:7" x14ac:dyDescent="0.35">
      <c r="A574" s="62"/>
      <c r="B574" s="62"/>
      <c r="C574" s="62" t="s">
        <v>153</v>
      </c>
      <c r="D574" s="63">
        <v>0</v>
      </c>
      <c r="E574" s="63">
        <v>-2851039</v>
      </c>
      <c r="F574" s="63">
        <v>0</v>
      </c>
      <c r="G574" s="63">
        <f>F574-E574</f>
        <v>2851039</v>
      </c>
    </row>
    <row r="575" spans="1:7" x14ac:dyDescent="0.35">
      <c r="A575" s="62"/>
      <c r="B575" s="62"/>
      <c r="C575" s="62" t="s">
        <v>62</v>
      </c>
      <c r="D575" s="63">
        <v>-60804</v>
      </c>
      <c r="E575" s="63">
        <v>0</v>
      </c>
      <c r="F575" s="63">
        <v>-208515</v>
      </c>
      <c r="G575" s="63">
        <f t="shared" ref="G575:G583" si="280">F575-E575</f>
        <v>-208515</v>
      </c>
    </row>
    <row r="576" spans="1:7" x14ac:dyDescent="0.35">
      <c r="A576" s="60"/>
      <c r="B576" s="60"/>
      <c r="C576" s="62" t="s">
        <v>63</v>
      </c>
      <c r="D576" s="63">
        <v>-26457</v>
      </c>
      <c r="E576" s="63">
        <v>0</v>
      </c>
      <c r="F576" s="63">
        <v>-140609</v>
      </c>
      <c r="G576" s="63">
        <f t="shared" si="280"/>
        <v>-140609</v>
      </c>
    </row>
    <row r="577" spans="1:9" x14ac:dyDescent="0.35">
      <c r="A577" s="60"/>
      <c r="B577" s="60"/>
      <c r="C577" s="62" t="s">
        <v>106</v>
      </c>
      <c r="D577" s="63">
        <v>0</v>
      </c>
      <c r="E577" s="63">
        <v>0</v>
      </c>
      <c r="F577" s="63">
        <v>-750</v>
      </c>
      <c r="G577" s="63">
        <f t="shared" si="280"/>
        <v>-750</v>
      </c>
    </row>
    <row r="578" spans="1:9" x14ac:dyDescent="0.35">
      <c r="A578" s="60"/>
      <c r="B578" s="60"/>
      <c r="C578" s="62" t="s">
        <v>107</v>
      </c>
      <c r="D578" s="63">
        <v>-10000</v>
      </c>
      <c r="E578" s="63">
        <v>0</v>
      </c>
      <c r="F578" s="63">
        <v>-259972</v>
      </c>
      <c r="G578" s="63">
        <f t="shared" si="280"/>
        <v>-259972</v>
      </c>
    </row>
    <row r="579" spans="1:9" s="65" customFormat="1" x14ac:dyDescent="0.35">
      <c r="A579" s="60"/>
      <c r="B579" s="60"/>
      <c r="C579" s="60" t="s">
        <v>114</v>
      </c>
      <c r="D579" s="64">
        <f>D580+D581</f>
        <v>0</v>
      </c>
      <c r="E579" s="64">
        <f t="shared" ref="E579:F579" si="281">E580+E581</f>
        <v>0</v>
      </c>
      <c r="F579" s="64">
        <f t="shared" si="281"/>
        <v>-248</v>
      </c>
      <c r="G579" s="63">
        <f t="shared" si="280"/>
        <v>-248</v>
      </c>
      <c r="H579" s="79"/>
      <c r="I579" s="79"/>
    </row>
    <row r="580" spans="1:9" x14ac:dyDescent="0.35">
      <c r="A580" s="60"/>
      <c r="B580" s="60"/>
      <c r="C580" s="62" t="s">
        <v>63</v>
      </c>
      <c r="D580" s="63">
        <v>0</v>
      </c>
      <c r="E580" s="63">
        <v>0</v>
      </c>
      <c r="F580" s="63">
        <v>-243</v>
      </c>
      <c r="G580" s="63">
        <f t="shared" si="280"/>
        <v>-243</v>
      </c>
    </row>
    <row r="581" spans="1:9" x14ac:dyDescent="0.35">
      <c r="A581" s="60"/>
      <c r="B581" s="60"/>
      <c r="C581" s="62" t="s">
        <v>64</v>
      </c>
      <c r="D581" s="63">
        <v>0</v>
      </c>
      <c r="E581" s="63">
        <v>0</v>
      </c>
      <c r="F581" s="64">
        <v>-5</v>
      </c>
      <c r="G581" s="63">
        <f t="shared" si="280"/>
        <v>-5</v>
      </c>
    </row>
    <row r="582" spans="1:9" s="65" customFormat="1" x14ac:dyDescent="0.35">
      <c r="A582" s="60"/>
      <c r="B582" s="60"/>
      <c r="C582" s="60" t="s">
        <v>116</v>
      </c>
      <c r="D582" s="64">
        <v>-8406</v>
      </c>
      <c r="E582" s="64">
        <f t="shared" ref="E582" si="282">D582</f>
        <v>-8406</v>
      </c>
      <c r="F582" s="64">
        <v>-8593</v>
      </c>
      <c r="G582" s="64">
        <f t="shared" si="280"/>
        <v>-187</v>
      </c>
      <c r="H582" s="68"/>
      <c r="I582" s="68"/>
    </row>
    <row r="583" spans="1:9" s="65" customFormat="1" ht="15" x14ac:dyDescent="0.35">
      <c r="A583" s="89" t="s">
        <v>142</v>
      </c>
      <c r="D583" s="73">
        <f>SUM(D584:D588)</f>
        <v>-15053672</v>
      </c>
      <c r="E583" s="73">
        <f t="shared" ref="E583:F583" si="283">SUM(E584:E588)</f>
        <v>-20911003</v>
      </c>
      <c r="F583" s="73">
        <f t="shared" si="283"/>
        <v>-17184683</v>
      </c>
      <c r="G583" s="64">
        <f t="shared" si="280"/>
        <v>3726320</v>
      </c>
      <c r="H583" s="68"/>
      <c r="I583" s="68"/>
    </row>
    <row r="584" spans="1:9" x14ac:dyDescent="0.35">
      <c r="A584" s="62"/>
      <c r="B584" s="62" t="s">
        <v>111</v>
      </c>
      <c r="C584" s="62"/>
      <c r="D584" s="63">
        <f>D595</f>
        <v>-12740422</v>
      </c>
      <c r="E584" s="63">
        <f t="shared" ref="E584:F584" si="284">E595</f>
        <v>-14905245</v>
      </c>
      <c r="F584" s="63">
        <f t="shared" si="284"/>
        <v>-14158191</v>
      </c>
      <c r="G584" s="63">
        <f t="shared" ref="G584:G588" si="285">F584-E584</f>
        <v>747054</v>
      </c>
    </row>
    <row r="585" spans="1:9" x14ac:dyDescent="0.35">
      <c r="A585" s="62"/>
      <c r="B585" s="62" t="s">
        <v>112</v>
      </c>
      <c r="C585" s="62"/>
      <c r="D585" s="63">
        <v>0</v>
      </c>
      <c r="E585" s="63">
        <v>0</v>
      </c>
      <c r="F585" s="63">
        <v>5934</v>
      </c>
      <c r="G585" s="63">
        <f t="shared" si="285"/>
        <v>5934</v>
      </c>
    </row>
    <row r="586" spans="1:9" x14ac:dyDescent="0.35">
      <c r="A586" s="62"/>
      <c r="B586" s="62" t="s">
        <v>113</v>
      </c>
      <c r="C586" s="62"/>
      <c r="D586" s="63">
        <f>D601</f>
        <v>-1014412</v>
      </c>
      <c r="E586" s="63">
        <f t="shared" ref="E586:F586" si="286">E601</f>
        <v>-4706920</v>
      </c>
      <c r="F586" s="63">
        <f t="shared" si="286"/>
        <v>-1598796</v>
      </c>
      <c r="G586" s="63">
        <f t="shared" si="285"/>
        <v>3108124</v>
      </c>
    </row>
    <row r="587" spans="1:9" x14ac:dyDescent="0.35">
      <c r="A587" s="62"/>
      <c r="B587" s="62" t="s">
        <v>114</v>
      </c>
      <c r="C587" s="62"/>
      <c r="D587" s="63">
        <v>0</v>
      </c>
      <c r="E587" s="63">
        <v>0</v>
      </c>
      <c r="F587" s="63">
        <f>F606</f>
        <v>-4763</v>
      </c>
      <c r="G587" s="63">
        <f t="shared" si="285"/>
        <v>-4763</v>
      </c>
    </row>
    <row r="588" spans="1:9" x14ac:dyDescent="0.35">
      <c r="A588" s="62"/>
      <c r="B588" s="62" t="s">
        <v>115</v>
      </c>
      <c r="C588" s="62"/>
      <c r="D588" s="63">
        <f>D609</f>
        <v>-1298838</v>
      </c>
      <c r="E588" s="63">
        <f t="shared" ref="E588:F588" si="287">E609</f>
        <v>-1298838</v>
      </c>
      <c r="F588" s="63">
        <f t="shared" si="287"/>
        <v>-1428867</v>
      </c>
      <c r="G588" s="63">
        <f t="shared" si="285"/>
        <v>-130029</v>
      </c>
    </row>
    <row r="589" spans="1:9" ht="14.25" customHeight="1" x14ac:dyDescent="0.35">
      <c r="A589" s="60"/>
      <c r="B589" s="60" t="s">
        <v>138</v>
      </c>
      <c r="C589" s="60"/>
      <c r="D589" s="64">
        <f>SUM(D591:D594)</f>
        <v>-15053672</v>
      </c>
      <c r="E589" s="64">
        <f>SUM(E590:E594)</f>
        <v>-20911003</v>
      </c>
      <c r="F589" s="64">
        <f>SUM(F591:F594)</f>
        <v>-17184683</v>
      </c>
      <c r="G589" s="64">
        <f>F589-E589</f>
        <v>3726320</v>
      </c>
    </row>
    <row r="590" spans="1:9" ht="14.25" customHeight="1" x14ac:dyDescent="0.35">
      <c r="A590" s="62"/>
      <c r="B590" s="62"/>
      <c r="C590" s="62" t="s">
        <v>153</v>
      </c>
      <c r="D590" s="63">
        <v>0</v>
      </c>
      <c r="E590" s="63">
        <f>E602</f>
        <v>-4706920</v>
      </c>
      <c r="F590" s="63">
        <v>0</v>
      </c>
      <c r="G590" s="63">
        <f t="shared" ref="G590:G594" si="288">F590-E590</f>
        <v>4706920</v>
      </c>
    </row>
    <row r="591" spans="1:9" x14ac:dyDescent="0.35">
      <c r="A591" s="62"/>
      <c r="B591" s="62"/>
      <c r="C591" s="62" t="s">
        <v>62</v>
      </c>
      <c r="D591" s="63">
        <f>D596+D603</f>
        <v>-7792575</v>
      </c>
      <c r="E591" s="63">
        <f t="shared" ref="E591:F591" si="289">E596+E603</f>
        <v>-7586317</v>
      </c>
      <c r="F591" s="63">
        <f t="shared" si="289"/>
        <v>-8287306</v>
      </c>
      <c r="G591" s="63">
        <f t="shared" si="288"/>
        <v>-700989</v>
      </c>
    </row>
    <row r="592" spans="1:9" x14ac:dyDescent="0.35">
      <c r="A592" s="62"/>
      <c r="B592" s="62"/>
      <c r="C592" s="62" t="s">
        <v>63</v>
      </c>
      <c r="D592" s="63">
        <f>D597+D604</f>
        <v>-3274224</v>
      </c>
      <c r="E592" s="63">
        <f t="shared" ref="E592" si="290">E597+E604</f>
        <v>-4613993</v>
      </c>
      <c r="F592" s="63">
        <f>F597+F604+F607</f>
        <v>-4747520</v>
      </c>
      <c r="G592" s="63">
        <f t="shared" si="288"/>
        <v>-133527</v>
      </c>
    </row>
    <row r="593" spans="1:9" x14ac:dyDescent="0.35">
      <c r="A593" s="62"/>
      <c r="B593" s="62"/>
      <c r="C593" s="62" t="s">
        <v>107</v>
      </c>
      <c r="D593" s="63">
        <v>0</v>
      </c>
      <c r="E593" s="63">
        <v>0</v>
      </c>
      <c r="F593" s="63">
        <f>F605</f>
        <v>-74318</v>
      </c>
      <c r="G593" s="63">
        <f t="shared" si="288"/>
        <v>-74318</v>
      </c>
    </row>
    <row r="594" spans="1:9" x14ac:dyDescent="0.35">
      <c r="A594" s="62"/>
      <c r="B594" s="62"/>
      <c r="C594" s="62" t="s">
        <v>108</v>
      </c>
      <c r="D594" s="63">
        <f>D609+D598</f>
        <v>-3986873</v>
      </c>
      <c r="E594" s="63">
        <f>E609+E598</f>
        <v>-4003773</v>
      </c>
      <c r="F594" s="63">
        <f>F609+F598+F600+F608</f>
        <v>-4075539</v>
      </c>
      <c r="G594" s="63">
        <f t="shared" si="288"/>
        <v>-71766</v>
      </c>
    </row>
    <row r="595" spans="1:9" x14ac:dyDescent="0.35">
      <c r="A595" s="60"/>
      <c r="B595" s="60"/>
      <c r="C595" s="60" t="s">
        <v>111</v>
      </c>
      <c r="D595" s="64">
        <f>SUM(D596:D598)</f>
        <v>-12740422</v>
      </c>
      <c r="E595" s="64">
        <f t="shared" ref="E595" si="291">SUM(E596:E598)</f>
        <v>-14905245</v>
      </c>
      <c r="F595" s="64">
        <f t="shared" ref="F595" si="292">SUM(F596:F598)</f>
        <v>-14158191</v>
      </c>
      <c r="G595" s="64">
        <f>F595-E595</f>
        <v>747054</v>
      </c>
    </row>
    <row r="596" spans="1:9" x14ac:dyDescent="0.35">
      <c r="A596" s="62"/>
      <c r="B596" s="62"/>
      <c r="C596" s="62" t="s">
        <v>62</v>
      </c>
      <c r="D596" s="63">
        <v>-7166594</v>
      </c>
      <c r="E596" s="63">
        <v>-7586317</v>
      </c>
      <c r="F596" s="63">
        <v>-7475593</v>
      </c>
      <c r="G596" s="63">
        <f t="shared" ref="G596:G600" si="293">F596-E596</f>
        <v>110724</v>
      </c>
    </row>
    <row r="597" spans="1:9" x14ac:dyDescent="0.35">
      <c r="A597" s="60"/>
      <c r="B597" s="60"/>
      <c r="C597" s="62" t="s">
        <v>63</v>
      </c>
      <c r="D597" s="63">
        <v>-2885793</v>
      </c>
      <c r="E597" s="63">
        <v>-4613993</v>
      </c>
      <c r="F597" s="63">
        <v>-4030031</v>
      </c>
      <c r="G597" s="63">
        <f t="shared" si="293"/>
        <v>583962</v>
      </c>
    </row>
    <row r="598" spans="1:9" x14ac:dyDescent="0.35">
      <c r="A598" s="60"/>
      <c r="B598" s="60"/>
      <c r="C598" s="62" t="s">
        <v>64</v>
      </c>
      <c r="D598" s="63">
        <v>-2688035</v>
      </c>
      <c r="E598" s="63">
        <v>-2704935</v>
      </c>
      <c r="F598" s="63">
        <v>-2652567</v>
      </c>
      <c r="G598" s="63">
        <f t="shared" si="293"/>
        <v>52368</v>
      </c>
    </row>
    <row r="599" spans="1:9" s="65" customFormat="1" x14ac:dyDescent="0.35">
      <c r="A599" s="60"/>
      <c r="B599" s="60"/>
      <c r="C599" s="60" t="s">
        <v>112</v>
      </c>
      <c r="D599" s="64">
        <v>0</v>
      </c>
      <c r="E599" s="64">
        <v>0</v>
      </c>
      <c r="F599" s="64">
        <f>F600</f>
        <v>5934</v>
      </c>
      <c r="G599" s="64">
        <f t="shared" si="293"/>
        <v>5934</v>
      </c>
      <c r="H599" s="79"/>
      <c r="I599" s="79"/>
    </row>
    <row r="600" spans="1:9" x14ac:dyDescent="0.35">
      <c r="A600" s="60"/>
      <c r="B600" s="60"/>
      <c r="C600" s="62" t="s">
        <v>64</v>
      </c>
      <c r="D600" s="63">
        <v>0</v>
      </c>
      <c r="E600" s="63">
        <v>0</v>
      </c>
      <c r="F600" s="64">
        <v>5934</v>
      </c>
      <c r="G600" s="63">
        <f t="shared" si="293"/>
        <v>5934</v>
      </c>
    </row>
    <row r="601" spans="1:9" x14ac:dyDescent="0.35">
      <c r="A601" s="60"/>
      <c r="B601" s="60"/>
      <c r="C601" s="60" t="s">
        <v>113</v>
      </c>
      <c r="D601" s="64">
        <f>SUM(D603:D604)</f>
        <v>-1014412</v>
      </c>
      <c r="E601" s="64">
        <f>SUM(E602:E604)</f>
        <v>-4706920</v>
      </c>
      <c r="F601" s="64">
        <f>SUM(F602:F605)</f>
        <v>-1598796</v>
      </c>
      <c r="G601" s="64">
        <f>F601-E601</f>
        <v>3108124</v>
      </c>
    </row>
    <row r="602" spans="1:9" x14ac:dyDescent="0.35">
      <c r="A602" s="62"/>
      <c r="B602" s="62"/>
      <c r="C602" s="62" t="s">
        <v>153</v>
      </c>
      <c r="D602" s="63">
        <v>0</v>
      </c>
      <c r="E602" s="63">
        <v>-4706920</v>
      </c>
      <c r="F602" s="63">
        <v>0</v>
      </c>
      <c r="G602" s="63">
        <f t="shared" ref="G602:G610" si="294">F602-E602</f>
        <v>4706920</v>
      </c>
    </row>
    <row r="603" spans="1:9" x14ac:dyDescent="0.35">
      <c r="A603" s="62"/>
      <c r="B603" s="62"/>
      <c r="C603" s="62" t="s">
        <v>62</v>
      </c>
      <c r="D603" s="63">
        <v>-625981</v>
      </c>
      <c r="E603" s="63">
        <v>0</v>
      </c>
      <c r="F603" s="63">
        <v>-811713</v>
      </c>
      <c r="G603" s="63">
        <f t="shared" si="294"/>
        <v>-811713</v>
      </c>
    </row>
    <row r="604" spans="1:9" x14ac:dyDescent="0.35">
      <c r="A604" s="60"/>
      <c r="B604" s="60"/>
      <c r="C604" s="62" t="s">
        <v>63</v>
      </c>
      <c r="D604" s="63">
        <v>-388431</v>
      </c>
      <c r="E604" s="63">
        <v>0</v>
      </c>
      <c r="F604" s="63">
        <v>-712765</v>
      </c>
      <c r="G604" s="63">
        <f t="shared" si="294"/>
        <v>-712765</v>
      </c>
    </row>
    <row r="605" spans="1:9" x14ac:dyDescent="0.35">
      <c r="A605" s="60"/>
      <c r="B605" s="60"/>
      <c r="C605" s="62" t="s">
        <v>107</v>
      </c>
      <c r="D605" s="63">
        <v>0</v>
      </c>
      <c r="E605" s="63">
        <v>0</v>
      </c>
      <c r="F605" s="63">
        <v>-74318</v>
      </c>
      <c r="G605" s="63">
        <f t="shared" si="294"/>
        <v>-74318</v>
      </c>
    </row>
    <row r="606" spans="1:9" s="65" customFormat="1" x14ac:dyDescent="0.35">
      <c r="A606" s="60"/>
      <c r="B606" s="60"/>
      <c r="C606" s="60" t="s">
        <v>114</v>
      </c>
      <c r="D606" s="64">
        <v>0</v>
      </c>
      <c r="E606" s="64">
        <v>0</v>
      </c>
      <c r="F606" s="64">
        <v>-4763</v>
      </c>
      <c r="G606" s="64">
        <f t="shared" si="294"/>
        <v>-4763</v>
      </c>
      <c r="H606" s="79"/>
      <c r="I606" s="79"/>
    </row>
    <row r="607" spans="1:9" x14ac:dyDescent="0.35">
      <c r="A607" s="60"/>
      <c r="B607" s="60"/>
      <c r="C607" s="62" t="s">
        <v>63</v>
      </c>
      <c r="D607" s="63">
        <v>0</v>
      </c>
      <c r="E607" s="63">
        <v>0</v>
      </c>
      <c r="F607" s="63">
        <v>-4724</v>
      </c>
      <c r="G607" s="63">
        <f t="shared" si="294"/>
        <v>-4724</v>
      </c>
    </row>
    <row r="608" spans="1:9" x14ac:dyDescent="0.35">
      <c r="A608" s="60"/>
      <c r="B608" s="60"/>
      <c r="C608" s="62" t="s">
        <v>64</v>
      </c>
      <c r="D608" s="63">
        <v>0</v>
      </c>
      <c r="E608" s="63">
        <v>0</v>
      </c>
      <c r="F608" s="63">
        <v>-39</v>
      </c>
      <c r="G608" s="63">
        <f t="shared" si="294"/>
        <v>-39</v>
      </c>
    </row>
    <row r="609" spans="1:9" s="65" customFormat="1" x14ac:dyDescent="0.35">
      <c r="A609" s="60"/>
      <c r="B609" s="60"/>
      <c r="C609" s="60" t="s">
        <v>116</v>
      </c>
      <c r="D609" s="64">
        <v>-1298838</v>
      </c>
      <c r="E609" s="64">
        <f t="shared" ref="E609" si="295">D609</f>
        <v>-1298838</v>
      </c>
      <c r="F609" s="64">
        <v>-1428867</v>
      </c>
      <c r="G609" s="64">
        <f t="shared" si="294"/>
        <v>-130029</v>
      </c>
      <c r="H609" s="68"/>
      <c r="I609" s="68"/>
    </row>
    <row r="610" spans="1:9" s="65" customFormat="1" x14ac:dyDescent="0.35">
      <c r="A610" s="90" t="s">
        <v>144</v>
      </c>
      <c r="D610" s="73">
        <f>D611</f>
        <v>-609931</v>
      </c>
      <c r="E610" s="73">
        <f t="shared" ref="E610:F610" si="296">E611</f>
        <v>-786566</v>
      </c>
      <c r="F610" s="73">
        <f t="shared" si="296"/>
        <v>-726352</v>
      </c>
      <c r="G610" s="64">
        <f t="shared" si="294"/>
        <v>60214</v>
      </c>
      <c r="H610" s="68"/>
      <c r="I610" s="68"/>
    </row>
    <row r="611" spans="1:9" x14ac:dyDescent="0.35">
      <c r="A611" s="62"/>
      <c r="B611" s="62" t="s">
        <v>111</v>
      </c>
      <c r="C611" s="62"/>
      <c r="D611" s="63">
        <f>D617</f>
        <v>-609931</v>
      </c>
      <c r="E611" s="63">
        <f t="shared" ref="E611:F611" si="297">E617</f>
        <v>-786566</v>
      </c>
      <c r="F611" s="63">
        <f t="shared" si="297"/>
        <v>-726352</v>
      </c>
      <c r="G611" s="63">
        <f t="shared" ref="G611" si="298">F611-E611</f>
        <v>60214</v>
      </c>
    </row>
    <row r="612" spans="1:9" ht="14.25" customHeight="1" x14ac:dyDescent="0.35">
      <c r="A612" s="60"/>
      <c r="B612" s="60" t="s">
        <v>123</v>
      </c>
      <c r="C612" s="60"/>
      <c r="D612" s="64">
        <f>SUM(D613:D616)</f>
        <v>-609931</v>
      </c>
      <c r="E612" s="64">
        <f>SUM(E613:E616)</f>
        <v>-786566</v>
      </c>
      <c r="F612" s="64">
        <f>SUM(F613:F616)</f>
        <v>-726352</v>
      </c>
      <c r="G612" s="64">
        <f>F612-E612</f>
        <v>60214</v>
      </c>
    </row>
    <row r="613" spans="1:9" x14ac:dyDescent="0.35">
      <c r="A613" s="62"/>
      <c r="B613" s="62"/>
      <c r="C613" s="62" t="s">
        <v>62</v>
      </c>
      <c r="D613" s="63">
        <f>D618</f>
        <v>-178467</v>
      </c>
      <c r="E613" s="63">
        <f t="shared" ref="E613:F613" si="299">E618</f>
        <v>-167147</v>
      </c>
      <c r="F613" s="63">
        <f t="shared" si="299"/>
        <v>-140325</v>
      </c>
      <c r="G613" s="63">
        <f t="shared" ref="G613:G616" si="300">F613-E613</f>
        <v>26822</v>
      </c>
    </row>
    <row r="614" spans="1:9" x14ac:dyDescent="0.35">
      <c r="A614" s="62"/>
      <c r="B614" s="62"/>
      <c r="C614" s="62" t="s">
        <v>63</v>
      </c>
      <c r="D614" s="63">
        <f t="shared" ref="D614:F616" si="301">D619</f>
        <v>-25921</v>
      </c>
      <c r="E614" s="63">
        <f t="shared" si="301"/>
        <v>-20926</v>
      </c>
      <c r="F614" s="63">
        <f t="shared" si="301"/>
        <v>-3327</v>
      </c>
      <c r="G614" s="63">
        <f t="shared" si="300"/>
        <v>17599</v>
      </c>
    </row>
    <row r="615" spans="1:9" x14ac:dyDescent="0.35">
      <c r="A615" s="62"/>
      <c r="B615" s="62"/>
      <c r="C615" s="62" t="s">
        <v>107</v>
      </c>
      <c r="D615" s="63">
        <f t="shared" si="301"/>
        <v>-105543</v>
      </c>
      <c r="E615" s="63">
        <f t="shared" si="301"/>
        <v>-106940</v>
      </c>
      <c r="F615" s="63">
        <f t="shared" si="301"/>
        <v>-93543</v>
      </c>
      <c r="G615" s="63">
        <f t="shared" si="300"/>
        <v>13397</v>
      </c>
    </row>
    <row r="616" spans="1:9" x14ac:dyDescent="0.35">
      <c r="A616" s="62"/>
      <c r="B616" s="62"/>
      <c r="C616" s="62" t="s">
        <v>108</v>
      </c>
      <c r="D616" s="63">
        <f t="shared" si="301"/>
        <v>-300000</v>
      </c>
      <c r="E616" s="63">
        <f t="shared" si="301"/>
        <v>-491553</v>
      </c>
      <c r="F616" s="63">
        <f t="shared" si="301"/>
        <v>-489157</v>
      </c>
      <c r="G616" s="63">
        <f t="shared" si="300"/>
        <v>2396</v>
      </c>
    </row>
    <row r="617" spans="1:9" x14ac:dyDescent="0.35">
      <c r="A617" s="60"/>
      <c r="B617" s="60"/>
      <c r="C617" s="60" t="s">
        <v>111</v>
      </c>
      <c r="D617" s="64">
        <f>SUM(D618:D621)</f>
        <v>-609931</v>
      </c>
      <c r="E617" s="64">
        <f t="shared" ref="E617" si="302">SUM(E618:E621)</f>
        <v>-786566</v>
      </c>
      <c r="F617" s="64">
        <f t="shared" ref="F617" si="303">SUM(F618:F621)</f>
        <v>-726352</v>
      </c>
      <c r="G617" s="64">
        <f>F617-E617</f>
        <v>60214</v>
      </c>
    </row>
    <row r="618" spans="1:9" x14ac:dyDescent="0.35">
      <c r="A618" s="62"/>
      <c r="B618" s="62"/>
      <c r="C618" s="62" t="s">
        <v>62</v>
      </c>
      <c r="D618" s="63">
        <v>-178467</v>
      </c>
      <c r="E618" s="63">
        <v>-167147</v>
      </c>
      <c r="F618" s="63">
        <v>-140325</v>
      </c>
      <c r="G618" s="63">
        <f t="shared" ref="G618:G621" si="304">F618-E618</f>
        <v>26822</v>
      </c>
    </row>
    <row r="619" spans="1:9" x14ac:dyDescent="0.35">
      <c r="A619" s="60"/>
      <c r="B619" s="60"/>
      <c r="C619" s="62" t="s">
        <v>63</v>
      </c>
      <c r="D619" s="63">
        <v>-25921</v>
      </c>
      <c r="E619" s="63">
        <v>-20926</v>
      </c>
      <c r="F619" s="63">
        <v>-3327</v>
      </c>
      <c r="G619" s="63">
        <f t="shared" si="304"/>
        <v>17599</v>
      </c>
    </row>
    <row r="620" spans="1:9" x14ac:dyDescent="0.35">
      <c r="A620" s="60"/>
      <c r="B620" s="60"/>
      <c r="C620" s="62" t="s">
        <v>107</v>
      </c>
      <c r="D620" s="63">
        <v>-105543</v>
      </c>
      <c r="E620" s="63">
        <v>-106940</v>
      </c>
      <c r="F620" s="63">
        <v>-93543</v>
      </c>
      <c r="G620" s="63">
        <f t="shared" si="304"/>
        <v>13397</v>
      </c>
    </row>
    <row r="621" spans="1:9" x14ac:dyDescent="0.35">
      <c r="A621" s="60"/>
      <c r="B621" s="60"/>
      <c r="C621" s="62" t="s">
        <v>64</v>
      </c>
      <c r="D621" s="63">
        <v>-300000</v>
      </c>
      <c r="E621" s="63">
        <v>-491553</v>
      </c>
      <c r="F621" s="63">
        <v>-489157</v>
      </c>
      <c r="G621" s="63">
        <f t="shared" si="304"/>
        <v>2396</v>
      </c>
    </row>
    <row r="622" spans="1:9" s="65" customFormat="1" x14ac:dyDescent="0.35">
      <c r="A622" s="90" t="s">
        <v>146</v>
      </c>
      <c r="D622" s="73">
        <f>SUM(D623:D624)</f>
        <v>-29444993</v>
      </c>
      <c r="E622" s="73">
        <f t="shared" ref="E622:F622" si="305">SUM(E623:E624)</f>
        <v>-8322843</v>
      </c>
      <c r="F622" s="73">
        <f t="shared" si="305"/>
        <v>-8274694</v>
      </c>
      <c r="G622" s="64">
        <f>F622-E622</f>
        <v>48149</v>
      </c>
      <c r="H622" s="68"/>
      <c r="I622" s="68"/>
    </row>
    <row r="623" spans="1:9" x14ac:dyDescent="0.35">
      <c r="A623" s="62"/>
      <c r="B623" s="62" t="s">
        <v>111</v>
      </c>
      <c r="C623" s="62"/>
      <c r="D623" s="63">
        <f>D632</f>
        <v>-109993</v>
      </c>
      <c r="E623" s="63">
        <f t="shared" ref="E623:F623" si="306">E632</f>
        <v>-172127</v>
      </c>
      <c r="F623" s="63">
        <f t="shared" si="306"/>
        <v>-123978</v>
      </c>
      <c r="G623" s="63">
        <f t="shared" ref="G623:G624" si="307">F623-E623</f>
        <v>48149</v>
      </c>
    </row>
    <row r="624" spans="1:9" x14ac:dyDescent="0.35">
      <c r="A624" s="62"/>
      <c r="B624" s="62" t="s">
        <v>113</v>
      </c>
      <c r="C624" s="62"/>
      <c r="D624" s="63">
        <f>D636</f>
        <v>-29335000</v>
      </c>
      <c r="E624" s="63">
        <f t="shared" ref="E624:F624" si="308">E636</f>
        <v>-8150716</v>
      </c>
      <c r="F624" s="63">
        <f t="shared" si="308"/>
        <v>-8150716</v>
      </c>
      <c r="G624" s="63">
        <f t="shared" si="307"/>
        <v>0</v>
      </c>
    </row>
    <row r="625" spans="1:7" ht="14.25" customHeight="1" x14ac:dyDescent="0.35">
      <c r="A625" s="60"/>
      <c r="B625" s="60" t="s">
        <v>123</v>
      </c>
      <c r="C625" s="60"/>
      <c r="D625" s="64">
        <f>SUM(D627:D629)</f>
        <v>-29444993</v>
      </c>
      <c r="E625" s="64">
        <f>SUM(E626:E631)</f>
        <v>-8322843</v>
      </c>
      <c r="F625" s="64">
        <f>SUM(F627:F631)</f>
        <v>-8274694</v>
      </c>
      <c r="G625" s="64">
        <f>F625-E625</f>
        <v>48149</v>
      </c>
    </row>
    <row r="626" spans="1:7" ht="14.25" customHeight="1" x14ac:dyDescent="0.35">
      <c r="A626" s="62"/>
      <c r="B626" s="62"/>
      <c r="C626" s="62" t="s">
        <v>153</v>
      </c>
      <c r="D626" s="63">
        <v>0</v>
      </c>
      <c r="E626" s="63">
        <f>E636</f>
        <v>-8150716</v>
      </c>
      <c r="F626" s="63">
        <v>0</v>
      </c>
      <c r="G626" s="63">
        <f t="shared" ref="G626:G631" si="309">F626-E626</f>
        <v>8150716</v>
      </c>
    </row>
    <row r="627" spans="1:7" x14ac:dyDescent="0.35">
      <c r="A627" s="62"/>
      <c r="B627" s="62"/>
      <c r="C627" s="62" t="s">
        <v>62</v>
      </c>
      <c r="D627" s="63">
        <f>D633+D638</f>
        <v>-147550</v>
      </c>
      <c r="E627" s="63">
        <f t="shared" ref="E627:F627" si="310">E633+E638</f>
        <v>-97069</v>
      </c>
      <c r="F627" s="63">
        <f t="shared" si="310"/>
        <v>-59133</v>
      </c>
      <c r="G627" s="63">
        <f t="shared" si="309"/>
        <v>37936</v>
      </c>
    </row>
    <row r="628" spans="1:7" x14ac:dyDescent="0.35">
      <c r="A628" s="62"/>
      <c r="B628" s="62"/>
      <c r="C628" s="62" t="s">
        <v>63</v>
      </c>
      <c r="D628" s="63">
        <f>D634+D639</f>
        <v>-117443</v>
      </c>
      <c r="E628" s="63">
        <f t="shared" ref="E628:F628" si="311">E634+E639</f>
        <v>-11602</v>
      </c>
      <c r="F628" s="63">
        <f t="shared" si="311"/>
        <v>-1389</v>
      </c>
      <c r="G628" s="63">
        <f t="shared" si="309"/>
        <v>10213</v>
      </c>
    </row>
    <row r="629" spans="1:7" x14ac:dyDescent="0.35">
      <c r="A629" s="62"/>
      <c r="B629" s="62"/>
      <c r="C629" s="62" t="s">
        <v>117</v>
      </c>
      <c r="D629" s="63">
        <f>D640</f>
        <v>-29180000</v>
      </c>
      <c r="E629" s="63">
        <f t="shared" ref="E629:F629" si="312">E640</f>
        <v>0</v>
      </c>
      <c r="F629" s="63">
        <f t="shared" si="312"/>
        <v>-8170090</v>
      </c>
      <c r="G629" s="63">
        <f t="shared" si="309"/>
        <v>-8170090</v>
      </c>
    </row>
    <row r="630" spans="1:7" x14ac:dyDescent="0.35">
      <c r="A630" s="62"/>
      <c r="B630" s="62"/>
      <c r="C630" s="62" t="s">
        <v>107</v>
      </c>
      <c r="D630" s="63">
        <v>0</v>
      </c>
      <c r="E630" s="63">
        <f>E635</f>
        <v>-63456</v>
      </c>
      <c r="F630" s="63">
        <f>F635+F641</f>
        <v>-107538</v>
      </c>
      <c r="G630" s="63">
        <f t="shared" si="309"/>
        <v>-44082</v>
      </c>
    </row>
    <row r="631" spans="1:7" x14ac:dyDescent="0.35">
      <c r="A631" s="62"/>
      <c r="B631" s="62"/>
      <c r="C631" s="62" t="s">
        <v>64</v>
      </c>
      <c r="D631" s="63">
        <v>0</v>
      </c>
      <c r="E631" s="63">
        <v>0</v>
      </c>
      <c r="F631" s="63">
        <f>F642</f>
        <v>63456</v>
      </c>
      <c r="G631" s="63">
        <f t="shared" si="309"/>
        <v>63456</v>
      </c>
    </row>
    <row r="632" spans="1:7" x14ac:dyDescent="0.35">
      <c r="A632" s="60"/>
      <c r="B632" s="60"/>
      <c r="C632" s="60" t="s">
        <v>111</v>
      </c>
      <c r="D632" s="64">
        <f>SUM(D633:D634)</f>
        <v>-109993</v>
      </c>
      <c r="E632" s="64">
        <f>SUM(E633:E635)</f>
        <v>-172127</v>
      </c>
      <c r="F632" s="64">
        <f>SUM(F633:F635)</f>
        <v>-123978</v>
      </c>
      <c r="G632" s="64">
        <f>F632-E632</f>
        <v>48149</v>
      </c>
    </row>
    <row r="633" spans="1:7" x14ac:dyDescent="0.35">
      <c r="A633" s="62"/>
      <c r="B633" s="62"/>
      <c r="C633" s="62" t="s">
        <v>62</v>
      </c>
      <c r="D633" s="63">
        <v>-92550</v>
      </c>
      <c r="E633" s="63">
        <v>-97069</v>
      </c>
      <c r="F633" s="63">
        <v>-59133</v>
      </c>
      <c r="G633" s="63">
        <f t="shared" ref="G633:G635" si="313">F633-E633</f>
        <v>37936</v>
      </c>
    </row>
    <row r="634" spans="1:7" x14ac:dyDescent="0.35">
      <c r="A634" s="60"/>
      <c r="B634" s="60"/>
      <c r="C634" s="62" t="s">
        <v>63</v>
      </c>
      <c r="D634" s="63">
        <v>-17443</v>
      </c>
      <c r="E634" s="63">
        <v>-11602</v>
      </c>
      <c r="F634" s="63">
        <v>-1389</v>
      </c>
      <c r="G634" s="63">
        <f t="shared" si="313"/>
        <v>10213</v>
      </c>
    </row>
    <row r="635" spans="1:7" x14ac:dyDescent="0.35">
      <c r="A635" s="60"/>
      <c r="B635" s="60"/>
      <c r="C635" s="62" t="s">
        <v>107</v>
      </c>
      <c r="D635" s="63">
        <v>0</v>
      </c>
      <c r="E635" s="63">
        <v>-63456</v>
      </c>
      <c r="F635" s="63">
        <v>-63456</v>
      </c>
      <c r="G635" s="63">
        <f t="shared" si="313"/>
        <v>0</v>
      </c>
    </row>
    <row r="636" spans="1:7" x14ac:dyDescent="0.35">
      <c r="A636" s="60"/>
      <c r="B636" s="60"/>
      <c r="C636" s="60" t="s">
        <v>113</v>
      </c>
      <c r="D636" s="64">
        <f>SUM(D638:D640)</f>
        <v>-29335000</v>
      </c>
      <c r="E636" s="64">
        <f>SUM(E637:E640)</f>
        <v>-8150716</v>
      </c>
      <c r="F636" s="64">
        <f>SUM(F638:F642)</f>
        <v>-8150716</v>
      </c>
      <c r="G636" s="64">
        <f>F636-E636</f>
        <v>0</v>
      </c>
    </row>
    <row r="637" spans="1:7" x14ac:dyDescent="0.35">
      <c r="A637" s="62"/>
      <c r="B637" s="62"/>
      <c r="C637" s="62" t="s">
        <v>153</v>
      </c>
      <c r="D637" s="63">
        <v>0</v>
      </c>
      <c r="E637" s="63">
        <v>-8150716</v>
      </c>
      <c r="F637" s="63">
        <v>0</v>
      </c>
      <c r="G637" s="63">
        <f t="shared" ref="G637:G642" si="314">F637-E637</f>
        <v>8150716</v>
      </c>
    </row>
    <row r="638" spans="1:7" x14ac:dyDescent="0.35">
      <c r="A638" s="62"/>
      <c r="B638" s="62"/>
      <c r="C638" s="62" t="s">
        <v>62</v>
      </c>
      <c r="D638" s="63">
        <v>-55000</v>
      </c>
      <c r="E638" s="63">
        <v>0</v>
      </c>
      <c r="F638" s="63">
        <v>0</v>
      </c>
      <c r="G638" s="63">
        <f t="shared" si="314"/>
        <v>0</v>
      </c>
    </row>
    <row r="639" spans="1:7" x14ac:dyDescent="0.35">
      <c r="A639" s="60"/>
      <c r="B639" s="60"/>
      <c r="C639" s="62" t="s">
        <v>63</v>
      </c>
      <c r="D639" s="63">
        <v>-100000</v>
      </c>
      <c r="E639" s="63">
        <v>0</v>
      </c>
      <c r="F639" s="64">
        <v>0</v>
      </c>
      <c r="G639" s="63">
        <f t="shared" si="314"/>
        <v>0</v>
      </c>
    </row>
    <row r="640" spans="1:7" x14ac:dyDescent="0.35">
      <c r="A640" s="60"/>
      <c r="B640" s="60"/>
      <c r="C640" s="62" t="s">
        <v>117</v>
      </c>
      <c r="D640" s="63">
        <v>-29180000</v>
      </c>
      <c r="E640" s="63">
        <v>0</v>
      </c>
      <c r="F640" s="63">
        <v>-8170090</v>
      </c>
      <c r="G640" s="63">
        <f t="shared" si="314"/>
        <v>-8170090</v>
      </c>
    </row>
    <row r="641" spans="1:9" x14ac:dyDescent="0.35">
      <c r="A641" s="60"/>
      <c r="B641" s="65"/>
      <c r="C641" s="62" t="s">
        <v>107</v>
      </c>
      <c r="D641" s="63">
        <v>0</v>
      </c>
      <c r="E641" s="63">
        <f t="shared" ref="E641" si="315">D641</f>
        <v>0</v>
      </c>
      <c r="F641" s="63">
        <v>-44082</v>
      </c>
      <c r="G641" s="63">
        <f t="shared" si="314"/>
        <v>-44082</v>
      </c>
    </row>
    <row r="642" spans="1:9" x14ac:dyDescent="0.35">
      <c r="A642" s="60"/>
      <c r="B642" s="65"/>
      <c r="C642" s="62" t="s">
        <v>64</v>
      </c>
      <c r="D642" s="63">
        <v>0</v>
      </c>
      <c r="E642" s="63">
        <v>0</v>
      </c>
      <c r="F642" s="63">
        <v>63456</v>
      </c>
      <c r="G642" s="63">
        <f t="shared" si="314"/>
        <v>63456</v>
      </c>
    </row>
    <row r="643" spans="1:9" s="65" customFormat="1" x14ac:dyDescent="0.35">
      <c r="A643" s="90" t="s">
        <v>148</v>
      </c>
      <c r="D643" s="73">
        <f>SUM(D644:D645)</f>
        <v>-6826932</v>
      </c>
      <c r="E643" s="73">
        <f t="shared" ref="E643:F643" si="316">SUM(E644:E645)</f>
        <v>-106123</v>
      </c>
      <c r="F643" s="73">
        <f t="shared" si="316"/>
        <v>-57810</v>
      </c>
      <c r="G643" s="64">
        <f>F643-E643</f>
        <v>48313</v>
      </c>
      <c r="H643" s="68"/>
      <c r="I643" s="68"/>
    </row>
    <row r="644" spans="1:9" x14ac:dyDescent="0.35">
      <c r="A644" s="62"/>
      <c r="B644" s="62" t="s">
        <v>111</v>
      </c>
      <c r="C644" s="62"/>
      <c r="D644" s="63">
        <f>D650</f>
        <v>-106932</v>
      </c>
      <c r="E644" s="63">
        <f t="shared" ref="E644:F644" si="317">E650</f>
        <v>-106123</v>
      </c>
      <c r="F644" s="63">
        <f t="shared" si="317"/>
        <v>-57810</v>
      </c>
      <c r="G644" s="63">
        <f t="shared" ref="G644:G645" si="318">F644-E644</f>
        <v>48313</v>
      </c>
    </row>
    <row r="645" spans="1:9" x14ac:dyDescent="0.35">
      <c r="A645" s="62"/>
      <c r="B645" s="62" t="s">
        <v>113</v>
      </c>
      <c r="C645" s="62"/>
      <c r="D645" s="63">
        <f>D653</f>
        <v>-6720000</v>
      </c>
      <c r="E645" s="63">
        <v>0</v>
      </c>
      <c r="F645" s="63">
        <f t="shared" ref="F645" si="319">F653</f>
        <v>0</v>
      </c>
      <c r="G645" s="63">
        <f t="shared" si="318"/>
        <v>0</v>
      </c>
    </row>
    <row r="646" spans="1:9" ht="14.25" customHeight="1" x14ac:dyDescent="0.35">
      <c r="A646" s="60"/>
      <c r="B646" s="60" t="s">
        <v>123</v>
      </c>
      <c r="C646" s="60"/>
      <c r="D646" s="64">
        <f>SUM(D647:D649)</f>
        <v>-6826932</v>
      </c>
      <c r="E646" s="64">
        <f>SUM(E647:E649)</f>
        <v>-106123</v>
      </c>
      <c r="F646" s="64">
        <f>SUM(F647:F649)</f>
        <v>-57810</v>
      </c>
      <c r="G646" s="64">
        <f>F646-E646</f>
        <v>48313</v>
      </c>
    </row>
    <row r="647" spans="1:9" x14ac:dyDescent="0.35">
      <c r="A647" s="62"/>
      <c r="B647" s="62"/>
      <c r="C647" s="62" t="s">
        <v>62</v>
      </c>
      <c r="D647" s="63">
        <f>D651</f>
        <v>-89764</v>
      </c>
      <c r="E647" s="63">
        <f t="shared" ref="E647:F647" si="320">E651</f>
        <v>-94796</v>
      </c>
      <c r="F647" s="63">
        <f t="shared" si="320"/>
        <v>-56484</v>
      </c>
      <c r="G647" s="63">
        <f t="shared" ref="G647:G649" si="321">F647-E647</f>
        <v>38312</v>
      </c>
    </row>
    <row r="648" spans="1:9" x14ac:dyDescent="0.35">
      <c r="A648" s="62"/>
      <c r="B648" s="62"/>
      <c r="C648" s="62" t="s">
        <v>63</v>
      </c>
      <c r="D648" s="63">
        <f>D652</f>
        <v>-17168</v>
      </c>
      <c r="E648" s="63">
        <f t="shared" ref="E648:F648" si="322">E652</f>
        <v>-11327</v>
      </c>
      <c r="F648" s="63">
        <f t="shared" si="322"/>
        <v>-1326</v>
      </c>
      <c r="G648" s="63">
        <f t="shared" si="321"/>
        <v>10001</v>
      </c>
    </row>
    <row r="649" spans="1:9" x14ac:dyDescent="0.35">
      <c r="A649" s="62"/>
      <c r="B649" s="62"/>
      <c r="C649" s="62" t="s">
        <v>117</v>
      </c>
      <c r="D649" s="63">
        <f>D654</f>
        <v>-6720000</v>
      </c>
      <c r="E649" s="63">
        <v>0</v>
      </c>
      <c r="F649" s="63">
        <f t="shared" ref="F649" si="323">F654</f>
        <v>0</v>
      </c>
      <c r="G649" s="63">
        <f t="shared" si="321"/>
        <v>0</v>
      </c>
    </row>
    <row r="650" spans="1:9" x14ac:dyDescent="0.35">
      <c r="A650" s="60"/>
      <c r="B650" s="60"/>
      <c r="C650" s="60" t="s">
        <v>111</v>
      </c>
      <c r="D650" s="64">
        <f>SUM(D651:D652)</f>
        <v>-106932</v>
      </c>
      <c r="E650" s="64">
        <f>SUM(E651:E652)</f>
        <v>-106123</v>
      </c>
      <c r="F650" s="64">
        <f>SUM(F651:F652)</f>
        <v>-57810</v>
      </c>
      <c r="G650" s="64">
        <f>F650-E650</f>
        <v>48313</v>
      </c>
    </row>
    <row r="651" spans="1:9" x14ac:dyDescent="0.35">
      <c r="A651" s="62"/>
      <c r="B651" s="62"/>
      <c r="C651" s="62" t="s">
        <v>62</v>
      </c>
      <c r="D651" s="63">
        <v>-89764</v>
      </c>
      <c r="E651" s="63">
        <v>-94796</v>
      </c>
      <c r="F651" s="63">
        <v>-56484</v>
      </c>
      <c r="G651" s="63">
        <f t="shared" ref="G651:G652" si="324">F651-E651</f>
        <v>38312</v>
      </c>
    </row>
    <row r="652" spans="1:9" x14ac:dyDescent="0.35">
      <c r="A652" s="60"/>
      <c r="B652" s="60"/>
      <c r="C652" s="62" t="s">
        <v>63</v>
      </c>
      <c r="D652" s="63">
        <v>-17168</v>
      </c>
      <c r="E652" s="63">
        <v>-11327</v>
      </c>
      <c r="F652" s="64">
        <v>-1326</v>
      </c>
      <c r="G652" s="63">
        <f t="shared" si="324"/>
        <v>10001</v>
      </c>
    </row>
    <row r="653" spans="1:9" x14ac:dyDescent="0.35">
      <c r="A653" s="60"/>
      <c r="B653" s="60"/>
      <c r="C653" s="60" t="s">
        <v>113</v>
      </c>
      <c r="D653" s="64">
        <f>SUM(D654:D654)</f>
        <v>-6720000</v>
      </c>
      <c r="E653" s="64">
        <f>SUM(E654:E654)</f>
        <v>0</v>
      </c>
      <c r="F653" s="64">
        <f>SUM(F654:F654)</f>
        <v>0</v>
      </c>
      <c r="G653" s="64">
        <f>F653-E653</f>
        <v>0</v>
      </c>
    </row>
    <row r="654" spans="1:9" x14ac:dyDescent="0.35">
      <c r="A654" s="60"/>
      <c r="B654" s="60"/>
      <c r="C654" s="62" t="s">
        <v>117</v>
      </c>
      <c r="D654" s="63">
        <v>-6720000</v>
      </c>
      <c r="E654" s="63">
        <v>0</v>
      </c>
      <c r="F654" s="63">
        <v>0</v>
      </c>
      <c r="G654" s="63">
        <f t="shared" ref="G654" si="325">F654-E654</f>
        <v>0</v>
      </c>
      <c r="H654" s="75"/>
    </row>
    <row r="655" spans="1:9" s="65" customFormat="1" x14ac:dyDescent="0.35">
      <c r="A655" s="60" t="s">
        <v>58</v>
      </c>
      <c r="B655" s="60"/>
      <c r="C655" s="60"/>
      <c r="D655" s="64">
        <f>SUM(D656:D658)</f>
        <v>-23067377</v>
      </c>
      <c r="E655" s="64">
        <f t="shared" ref="E655:G655" si="326">SUM(E656:E658)</f>
        <v>-21166982.329999998</v>
      </c>
      <c r="F655" s="64">
        <f t="shared" si="326"/>
        <v>-17891646.5</v>
      </c>
      <c r="G655" s="64">
        <f t="shared" si="326"/>
        <v>3275335.8299999982</v>
      </c>
      <c r="H655" s="68"/>
      <c r="I655" s="68"/>
    </row>
    <row r="656" spans="1:9" x14ac:dyDescent="0.35">
      <c r="A656" s="62"/>
      <c r="B656" s="62"/>
      <c r="C656" s="62" t="s">
        <v>112</v>
      </c>
      <c r="D656" s="63">
        <v>-20622020</v>
      </c>
      <c r="E656" s="63">
        <f>D656+558252</f>
        <v>-20063768</v>
      </c>
      <c r="F656" s="63">
        <v>-16788432.170000002</v>
      </c>
      <c r="G656" s="63">
        <f t="shared" ref="G656:G658" si="327">F656-E656</f>
        <v>3275335.8299999982</v>
      </c>
    </row>
    <row r="657" spans="1:7" x14ac:dyDescent="0.35">
      <c r="A657" s="62"/>
      <c r="B657" s="62"/>
      <c r="C657" s="62" t="s">
        <v>113</v>
      </c>
      <c r="D657" s="63">
        <v>-1148156</v>
      </c>
      <c r="E657" s="63">
        <v>-424379.34</v>
      </c>
      <c r="F657" s="63">
        <v>-424379.34</v>
      </c>
      <c r="G657" s="63">
        <f t="shared" si="327"/>
        <v>0</v>
      </c>
    </row>
    <row r="658" spans="1:7" x14ac:dyDescent="0.35">
      <c r="A658" s="62"/>
      <c r="B658" s="62"/>
      <c r="C658" s="62" t="s">
        <v>114</v>
      </c>
      <c r="D658" s="63">
        <v>-1297201</v>
      </c>
      <c r="E658" s="63">
        <v>-678834.99</v>
      </c>
      <c r="F658" s="63">
        <v>-678834.99</v>
      </c>
      <c r="G658" s="63">
        <f t="shared" si="327"/>
        <v>0</v>
      </c>
    </row>
  </sheetData>
  <autoFilter ref="A1:A658" xr:uid="{1EA5352C-D577-4AC0-AB2D-448D0F26488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23"/>
  <sheetViews>
    <sheetView workbookViewId="0">
      <selection activeCell="B11" sqref="B11"/>
    </sheetView>
  </sheetViews>
  <sheetFormatPr defaultRowHeight="14.5" x14ac:dyDescent="0.35"/>
  <cols>
    <col min="1" max="1" width="15.81640625" customWidth="1"/>
    <col min="2" max="2" width="39.1796875" customWidth="1"/>
    <col min="3" max="3" width="16.7265625" style="22" bestFit="1" customWidth="1"/>
    <col min="4" max="4" width="16.1796875" style="22" bestFit="1" customWidth="1"/>
    <col min="5" max="5" width="16.7265625" style="22" bestFit="1" customWidth="1"/>
    <col min="6" max="6" width="9.1796875" style="7"/>
    <col min="7" max="7" width="16" style="7" bestFit="1" customWidth="1"/>
    <col min="8" max="8" width="16.7265625" style="7" bestFit="1" customWidth="1"/>
    <col min="9" max="9" width="15.81640625" style="7" bestFit="1" customWidth="1"/>
    <col min="11" max="11" width="14.26953125" bestFit="1" customWidth="1"/>
    <col min="13" max="13" width="14.26953125" bestFit="1" customWidth="1"/>
    <col min="14" max="14" width="10.7265625" bestFit="1" customWidth="1"/>
    <col min="15" max="15" width="13.26953125" customWidth="1"/>
  </cols>
  <sheetData>
    <row r="1" spans="1:15" x14ac:dyDescent="0.35">
      <c r="A1" s="1" t="s">
        <v>27</v>
      </c>
      <c r="B1" s="2"/>
      <c r="C1" s="23"/>
      <c r="D1" s="23"/>
      <c r="E1" s="23"/>
      <c r="F1" s="3"/>
      <c r="G1" s="4"/>
      <c r="H1" s="5"/>
      <c r="I1" s="6"/>
      <c r="J1" s="7"/>
    </row>
    <row r="2" spans="1:15" x14ac:dyDescent="0.35">
      <c r="A2" s="1" t="s">
        <v>28</v>
      </c>
      <c r="B2" s="2"/>
      <c r="C2" s="23"/>
      <c r="D2" s="23"/>
      <c r="E2" s="23"/>
      <c r="F2" s="3"/>
      <c r="G2" s="23"/>
      <c r="H2" s="23"/>
      <c r="I2" s="5"/>
      <c r="J2" s="7"/>
    </row>
    <row r="3" spans="1:15" x14ac:dyDescent="0.35">
      <c r="A3" s="1"/>
      <c r="B3" s="2"/>
      <c r="C3" s="24">
        <f>SUBTOTAL(9,C5:C24)</f>
        <v>-284794297.98000002</v>
      </c>
      <c r="D3" s="24">
        <f>SUBTOTAL(9,D5:D24)</f>
        <v>-284794297.93000001</v>
      </c>
      <c r="E3" s="24">
        <f>SUBTOTAL(9,E5:E24)</f>
        <v>-4.9999983981251717E-2</v>
      </c>
      <c r="F3" s="3"/>
      <c r="G3" s="24">
        <f>SUBTOTAL(9,G5:G24)</f>
        <v>-186522317.63999999</v>
      </c>
      <c r="H3" s="24">
        <f>SUBTOTAL(9,H5:H24)</f>
        <v>-186522316.97000003</v>
      </c>
      <c r="I3" s="24">
        <f>SUBTOTAL(9,I5:I24)</f>
        <v>-0.6699999812990427</v>
      </c>
    </row>
    <row r="4" spans="1:15" ht="26" x14ac:dyDescent="0.35">
      <c r="A4" s="8" t="s">
        <v>37</v>
      </c>
      <c r="B4" s="8" t="s">
        <v>29</v>
      </c>
      <c r="C4" s="25" t="s">
        <v>99</v>
      </c>
      <c r="D4" s="25" t="s">
        <v>100</v>
      </c>
      <c r="E4" s="25" t="s">
        <v>101</v>
      </c>
      <c r="F4" s="27" t="s">
        <v>30</v>
      </c>
      <c r="G4" s="9" t="s">
        <v>94</v>
      </c>
      <c r="H4" s="9" t="s">
        <v>95</v>
      </c>
      <c r="I4" s="9" t="s">
        <v>96</v>
      </c>
      <c r="J4" s="8" t="s">
        <v>30</v>
      </c>
    </row>
    <row r="5" spans="1:15" s="32" customFormat="1" x14ac:dyDescent="0.35">
      <c r="A5" s="32" t="s">
        <v>152</v>
      </c>
      <c r="B5" s="32" t="s">
        <v>5</v>
      </c>
      <c r="C5" s="35">
        <v>32127607.440000001</v>
      </c>
      <c r="D5" s="36">
        <f>aruanne!E6</f>
        <v>32127802.440000001</v>
      </c>
      <c r="E5" s="36">
        <f t="shared" ref="E5:E23" si="0">C5-D5</f>
        <v>-195</v>
      </c>
      <c r="F5" s="31"/>
      <c r="G5" s="35">
        <v>31706634.75</v>
      </c>
      <c r="H5" s="36">
        <f>aruanne!F6</f>
        <v>31706829.75</v>
      </c>
      <c r="I5" s="36">
        <f t="shared" ref="I5:I23" si="1">G5-H5</f>
        <v>-195</v>
      </c>
      <c r="K5" s="31"/>
      <c r="O5" s="31"/>
    </row>
    <row r="6" spans="1:15" x14ac:dyDescent="0.35">
      <c r="A6" t="s">
        <v>152</v>
      </c>
      <c r="B6" t="s">
        <v>6</v>
      </c>
      <c r="C6" s="35">
        <f>14865005.5</f>
        <v>14865005.5</v>
      </c>
      <c r="D6" s="36">
        <f>aruanne!E7+aruanne!E69</f>
        <v>16191087.220000001</v>
      </c>
      <c r="E6" s="36">
        <f t="shared" si="0"/>
        <v>-1326081.7200000007</v>
      </c>
      <c r="F6" s="31"/>
      <c r="G6" s="22">
        <v>6157889.0899999999</v>
      </c>
      <c r="H6" s="5">
        <f>aruanne!F7+aruanne!F69</f>
        <v>6339796.1799999997</v>
      </c>
      <c r="I6" s="5">
        <f t="shared" si="1"/>
        <v>-181907.08999999985</v>
      </c>
      <c r="J6" t="s">
        <v>78</v>
      </c>
      <c r="K6" s="7"/>
      <c r="O6" s="7"/>
    </row>
    <row r="7" spans="1:15" x14ac:dyDescent="0.35">
      <c r="A7" t="s">
        <v>152</v>
      </c>
      <c r="B7" t="s">
        <v>4</v>
      </c>
      <c r="C7" s="35">
        <v>45405192.850000001</v>
      </c>
      <c r="D7" s="36">
        <f>aruanne!E8+aruanne!E63+aruanne!E64</f>
        <v>45405192.850000009</v>
      </c>
      <c r="E7" s="36">
        <f t="shared" si="0"/>
        <v>0</v>
      </c>
      <c r="F7" s="31"/>
      <c r="G7" s="22">
        <v>3366857.14</v>
      </c>
      <c r="H7" s="5">
        <f>aruanne!F8+aruanne!F63+aruanne!F64</f>
        <v>3366857.1399999997</v>
      </c>
      <c r="I7" s="5">
        <f t="shared" si="1"/>
        <v>0</v>
      </c>
      <c r="J7" t="s">
        <v>78</v>
      </c>
      <c r="K7" s="7"/>
      <c r="O7" s="7"/>
    </row>
    <row r="8" spans="1:15" x14ac:dyDescent="0.35">
      <c r="A8" t="s">
        <v>152</v>
      </c>
      <c r="B8" t="s">
        <v>74</v>
      </c>
      <c r="C8" s="35">
        <v>2202.8000000000002</v>
      </c>
      <c r="D8" s="36">
        <f>aruanne!E9</f>
        <v>2202.8000000000002</v>
      </c>
      <c r="E8" s="36">
        <f t="shared" si="0"/>
        <v>0</v>
      </c>
      <c r="F8" s="31"/>
      <c r="G8" s="22">
        <v>1685.5</v>
      </c>
      <c r="H8" s="5">
        <f>aruanne!F9</f>
        <v>1685.5</v>
      </c>
      <c r="I8" s="5">
        <f t="shared" si="1"/>
        <v>0</v>
      </c>
      <c r="K8" s="7"/>
      <c r="O8" s="7"/>
    </row>
    <row r="9" spans="1:15" x14ac:dyDescent="0.35">
      <c r="A9" t="s">
        <v>152</v>
      </c>
      <c r="B9" t="s">
        <v>77</v>
      </c>
      <c r="C9" s="35">
        <v>3823047.21</v>
      </c>
      <c r="D9" s="36">
        <f>aruanne!E10</f>
        <v>3823047.21</v>
      </c>
      <c r="E9" s="36">
        <f t="shared" si="0"/>
        <v>0</v>
      </c>
      <c r="F9" s="31"/>
      <c r="G9" s="22">
        <v>4451348.3899999997</v>
      </c>
      <c r="H9" s="5">
        <f>aruanne!F10</f>
        <v>4451348.3899999997</v>
      </c>
      <c r="I9" s="5">
        <f t="shared" si="1"/>
        <v>0</v>
      </c>
      <c r="J9" s="7" t="s">
        <v>87</v>
      </c>
      <c r="K9" s="7"/>
      <c r="O9" s="7"/>
    </row>
    <row r="10" spans="1:15" x14ac:dyDescent="0.35">
      <c r="A10" t="s">
        <v>152</v>
      </c>
      <c r="B10" t="s">
        <v>61</v>
      </c>
      <c r="C10" s="35">
        <f>436.08+6974183.46</f>
        <v>6974619.54</v>
      </c>
      <c r="D10" s="36">
        <f>aruanne!E11</f>
        <v>6974630.3799999999</v>
      </c>
      <c r="E10" s="36">
        <f t="shared" si="0"/>
        <v>-10.839999999850988</v>
      </c>
      <c r="F10" s="31"/>
      <c r="G10" s="22">
        <f>391.84+7165178.37</f>
        <v>7165570.21</v>
      </c>
      <c r="H10" s="5">
        <f>aruanne!F11</f>
        <v>7166007.21</v>
      </c>
      <c r="I10" s="5">
        <f t="shared" si="1"/>
        <v>-437</v>
      </c>
      <c r="K10" s="7"/>
      <c r="O10" s="7"/>
    </row>
    <row r="11" spans="1:15" x14ac:dyDescent="0.35">
      <c r="A11" t="s">
        <v>152</v>
      </c>
      <c r="B11" t="s">
        <v>33</v>
      </c>
      <c r="C11" s="35">
        <f>195+1326081.72+10.84</f>
        <v>1326287.56</v>
      </c>
      <c r="D11" s="36"/>
      <c r="E11" s="36">
        <f t="shared" si="0"/>
        <v>1326287.56</v>
      </c>
      <c r="F11" s="31"/>
      <c r="G11" s="22">
        <f>195+31900.65+150006.44+437</f>
        <v>182539.09</v>
      </c>
      <c r="H11" s="5"/>
      <c r="I11" s="5">
        <f t="shared" si="1"/>
        <v>182539.09</v>
      </c>
      <c r="J11" t="s">
        <v>78</v>
      </c>
      <c r="K11" s="7"/>
      <c r="O11" s="7"/>
    </row>
    <row r="12" spans="1:15" x14ac:dyDescent="0.35">
      <c r="A12" t="s">
        <v>152</v>
      </c>
      <c r="B12" t="s">
        <v>31</v>
      </c>
      <c r="C12" s="35"/>
      <c r="D12" s="36">
        <f>aruanne!E66</f>
        <v>0</v>
      </c>
      <c r="E12" s="36">
        <f t="shared" si="0"/>
        <v>0</v>
      </c>
      <c r="F12" s="31"/>
      <c r="G12" s="22">
        <v>729137.51</v>
      </c>
      <c r="H12" s="5">
        <f>aruanne!F66</f>
        <v>729137.51</v>
      </c>
      <c r="I12" s="5">
        <f t="shared" si="1"/>
        <v>0</v>
      </c>
      <c r="K12" s="7"/>
      <c r="O12" s="7"/>
    </row>
    <row r="13" spans="1:15" x14ac:dyDescent="0.35">
      <c r="A13" t="s">
        <v>152</v>
      </c>
      <c r="B13" t="s">
        <v>72</v>
      </c>
      <c r="C13" s="35">
        <f>-359118433.63-C16-C19</f>
        <v>-337280940.88</v>
      </c>
      <c r="D13" s="36">
        <f>aruanne!E12+aruanne!E67+aruanne!E70+aruanne!E71+aruanne!E65-aruanne!E50</f>
        <v>-338607228.55000001</v>
      </c>
      <c r="E13" s="36">
        <f t="shared" si="0"/>
        <v>1326287.6700000167</v>
      </c>
      <c r="F13" s="31"/>
      <c r="G13" s="22">
        <f>-223248946.16-G16-G19-G22</f>
        <v>-212520757</v>
      </c>
      <c r="H13" s="5">
        <f>aruanne!F12+aruanne!F67+aruanne!F70+aruanne!F71+aruanne!F65-aruanne!F50</f>
        <v>-212703295.95000002</v>
      </c>
      <c r="I13" s="5">
        <f t="shared" si="1"/>
        <v>182538.95000001788</v>
      </c>
      <c r="K13" s="7"/>
      <c r="O13" s="7"/>
    </row>
    <row r="14" spans="1:15" x14ac:dyDescent="0.35">
      <c r="A14" t="s">
        <v>152</v>
      </c>
      <c r="B14" t="s">
        <v>34</v>
      </c>
      <c r="C14" s="35">
        <f>-7283.09-1318809.47-195</f>
        <v>-1326287.56</v>
      </c>
      <c r="D14" s="36"/>
      <c r="E14" s="36">
        <f t="shared" si="0"/>
        <v>-1326287.56</v>
      </c>
      <c r="F14" s="31"/>
      <c r="G14" s="22">
        <f>-903.6-181003.49-632</f>
        <v>-182539.09</v>
      </c>
      <c r="H14" s="5"/>
      <c r="I14" s="5">
        <f t="shared" si="1"/>
        <v>-182539.09</v>
      </c>
      <c r="K14" s="7"/>
      <c r="O14" s="7"/>
    </row>
    <row r="15" spans="1:15" x14ac:dyDescent="0.35">
      <c r="A15" t="s">
        <v>152</v>
      </c>
      <c r="B15" t="s">
        <v>32</v>
      </c>
      <c r="C15" s="35">
        <v>-5222502</v>
      </c>
      <c r="D15" s="36">
        <f>aruanne!E68</f>
        <v>-5222502</v>
      </c>
      <c r="E15" s="36">
        <f t="shared" si="0"/>
        <v>0</v>
      </c>
      <c r="F15" s="31"/>
      <c r="G15" s="22">
        <v>-6878335</v>
      </c>
      <c r="H15" s="5">
        <f>aruanne!F68</f>
        <v>-6878335</v>
      </c>
      <c r="I15" s="5">
        <f t="shared" si="1"/>
        <v>0</v>
      </c>
      <c r="K15" s="7"/>
      <c r="O15" s="7"/>
    </row>
    <row r="16" spans="1:15" x14ac:dyDescent="0.35">
      <c r="A16" t="s">
        <v>152</v>
      </c>
      <c r="B16" s="10" t="s">
        <v>59</v>
      </c>
      <c r="C16" s="35">
        <v>-17891646.5</v>
      </c>
      <c r="D16" s="36">
        <f>aruanne!E50</f>
        <v>-17891646.5</v>
      </c>
      <c r="E16" s="36">
        <f t="shared" si="0"/>
        <v>0</v>
      </c>
      <c r="F16" s="37"/>
      <c r="G16" s="22">
        <v>-9885646.8499999996</v>
      </c>
      <c r="H16" s="5">
        <f>aruanne!F50</f>
        <v>-9885646.8499999996</v>
      </c>
      <c r="I16" s="5">
        <f t="shared" si="1"/>
        <v>0</v>
      </c>
      <c r="K16" s="7"/>
      <c r="O16" s="7"/>
    </row>
    <row r="17" spans="1:15" x14ac:dyDescent="0.35">
      <c r="A17" t="s">
        <v>152</v>
      </c>
      <c r="B17" s="10" t="s">
        <v>73</v>
      </c>
      <c r="C17" s="35">
        <f>-6285458.05+59427-17422369.64</f>
        <v>-23648400.690000001</v>
      </c>
      <c r="D17" s="36">
        <f>aruanne!E51+aruanne!E72-D19</f>
        <v>-23651037.530000001</v>
      </c>
      <c r="E17" s="36">
        <f t="shared" si="0"/>
        <v>2636.839999999851</v>
      </c>
      <c r="F17" s="37"/>
      <c r="G17" s="22">
        <f>-10618659.64</f>
        <v>-10618659.640000001</v>
      </c>
      <c r="H17" s="5">
        <f>aruanne!F51+aruanne!F72-aruanne!F57</f>
        <v>-10559232.110000001</v>
      </c>
      <c r="I17" s="5">
        <f t="shared" si="1"/>
        <v>-59427.529999999329</v>
      </c>
      <c r="K17" s="7"/>
      <c r="O17" s="7"/>
    </row>
    <row r="18" spans="1:15" x14ac:dyDescent="0.35">
      <c r="A18" t="s">
        <v>152</v>
      </c>
      <c r="B18" t="s">
        <v>35</v>
      </c>
      <c r="C18" s="35">
        <f>56790-59427</f>
        <v>-2637</v>
      </c>
      <c r="D18" s="36">
        <v>0</v>
      </c>
      <c r="E18" s="36">
        <f t="shared" si="0"/>
        <v>-2637</v>
      </c>
      <c r="F18" s="31"/>
      <c r="G18" s="22">
        <v>59427</v>
      </c>
      <c r="H18" s="5">
        <v>0</v>
      </c>
      <c r="I18" s="5">
        <f t="shared" si="1"/>
        <v>59427</v>
      </c>
      <c r="K18" s="7"/>
      <c r="O18" s="7"/>
    </row>
    <row r="19" spans="1:15" x14ac:dyDescent="0.35">
      <c r="A19" t="s">
        <v>152</v>
      </c>
      <c r="B19" t="s">
        <v>71</v>
      </c>
      <c r="C19" s="35">
        <v>-3945846.25</v>
      </c>
      <c r="D19" s="36">
        <f>aruanne!E57</f>
        <v>-3945846.25</v>
      </c>
      <c r="E19" s="36">
        <f t="shared" si="0"/>
        <v>0</v>
      </c>
      <c r="F19" s="31"/>
      <c r="G19" s="22">
        <v>-842542.31</v>
      </c>
      <c r="H19" s="5">
        <f>aruanne!F57</f>
        <v>-842542.31</v>
      </c>
      <c r="I19" s="5">
        <f t="shared" si="1"/>
        <v>0</v>
      </c>
      <c r="K19" s="7"/>
      <c r="O19" s="7"/>
    </row>
    <row r="20" spans="1:15" x14ac:dyDescent="0.35">
      <c r="A20" t="s">
        <v>152</v>
      </c>
      <c r="B20" t="s">
        <v>80</v>
      </c>
      <c r="D20" s="5">
        <f>aruanne!E58-aruanne!E61</f>
        <v>0</v>
      </c>
      <c r="E20" s="5">
        <f t="shared" si="0"/>
        <v>0</v>
      </c>
      <c r="G20" s="22"/>
      <c r="H20" s="5">
        <f>aruanne!F58-aruanne!F61</f>
        <v>585073.56999999995</v>
      </c>
      <c r="I20" s="5">
        <f t="shared" si="1"/>
        <v>-585073.56999999995</v>
      </c>
      <c r="K20" s="7"/>
      <c r="O20" s="7"/>
    </row>
    <row r="21" spans="1:15" x14ac:dyDescent="0.35">
      <c r="A21" t="s">
        <v>152</v>
      </c>
      <c r="B21" t="s">
        <v>36</v>
      </c>
      <c r="D21" s="5"/>
      <c r="E21" s="5">
        <f t="shared" si="0"/>
        <v>0</v>
      </c>
      <c r="G21" s="22">
        <v>0</v>
      </c>
      <c r="H21" s="5"/>
      <c r="I21" s="5">
        <f t="shared" ref="I21:I22" si="2">G21-H21</f>
        <v>0</v>
      </c>
      <c r="K21" s="7"/>
      <c r="O21" s="7"/>
    </row>
    <row r="22" spans="1:15" x14ac:dyDescent="0.35">
      <c r="A22" t="s">
        <v>152</v>
      </c>
      <c r="B22" t="s">
        <v>60</v>
      </c>
      <c r="D22" s="5">
        <f>aruanne!E60</f>
        <v>0</v>
      </c>
      <c r="E22" s="5">
        <f t="shared" ref="E22" si="3">C22-D22</f>
        <v>0</v>
      </c>
      <c r="G22" s="22">
        <v>0</v>
      </c>
      <c r="H22" s="5">
        <f>aruanne!F60</f>
        <v>0</v>
      </c>
      <c r="I22" s="5">
        <f t="shared" si="2"/>
        <v>0</v>
      </c>
      <c r="K22" s="7"/>
      <c r="O22" s="7"/>
    </row>
    <row r="23" spans="1:15" s="32" customFormat="1" x14ac:dyDescent="0.35">
      <c r="A23" s="32" t="s">
        <v>152</v>
      </c>
      <c r="B23" s="32" t="s">
        <v>102</v>
      </c>
      <c r="C23" s="35"/>
      <c r="D23" s="36"/>
      <c r="E23" s="36">
        <f t="shared" si="0"/>
        <v>0</v>
      </c>
      <c r="F23" s="31"/>
      <c r="G23" s="35">
        <v>585073.56999999995</v>
      </c>
      <c r="H23" s="36">
        <f>aruanne!F61</f>
        <v>0</v>
      </c>
      <c r="I23" s="36">
        <f t="shared" si="1"/>
        <v>585073.56999999995</v>
      </c>
      <c r="K23" s="31"/>
      <c r="O23" s="31"/>
    </row>
  </sheetData>
  <autoFilter ref="A4:J24" xr:uid="{EF1F9403-50E9-43C6-AF9D-B37F0A9328D9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E33"/>
  <sheetViews>
    <sheetView topLeftCell="A2" workbookViewId="0">
      <pane xSplit="1" ySplit="4" topLeftCell="B6" activePane="bottomRight" state="frozen"/>
      <selection activeCell="A2" sqref="A2"/>
      <selection pane="topRight" activeCell="B2" sqref="B2"/>
      <selection pane="bottomLeft" activeCell="A7" sqref="A7"/>
      <selection pane="bottomRight" activeCell="A2" sqref="A2"/>
    </sheetView>
  </sheetViews>
  <sheetFormatPr defaultRowHeight="14.5" x14ac:dyDescent="0.35"/>
  <cols>
    <col min="1" max="1" width="43.54296875" customWidth="1"/>
    <col min="2" max="2" width="10.7265625" style="32" customWidth="1"/>
    <col min="3" max="3" width="12.453125" style="32" customWidth="1"/>
    <col min="5" max="5" width="25.26953125" customWidth="1"/>
    <col min="8" max="8" width="17.81640625" customWidth="1"/>
  </cols>
  <sheetData>
    <row r="1" spans="1:5" x14ac:dyDescent="0.35">
      <c r="A1" s="1" t="s">
        <v>27</v>
      </c>
    </row>
    <row r="2" spans="1:5" x14ac:dyDescent="0.35">
      <c r="A2" s="1" t="s">
        <v>38</v>
      </c>
    </row>
    <row r="3" spans="1:5" x14ac:dyDescent="0.35">
      <c r="A3" s="12" t="s">
        <v>0</v>
      </c>
      <c r="C3" s="38"/>
      <c r="D3" s="13"/>
    </row>
    <row r="4" spans="1:5" x14ac:dyDescent="0.35">
      <c r="A4" s="1"/>
      <c r="B4" s="32">
        <v>8</v>
      </c>
      <c r="C4" s="32">
        <v>8</v>
      </c>
      <c r="D4">
        <v>8</v>
      </c>
    </row>
    <row r="5" spans="1:5" ht="52.5" customHeight="1" x14ac:dyDescent="0.35">
      <c r="A5" s="14"/>
      <c r="B5" s="39" t="s">
        <v>39</v>
      </c>
      <c r="C5" s="39" t="s">
        <v>76</v>
      </c>
      <c r="D5" s="15" t="s">
        <v>40</v>
      </c>
    </row>
    <row r="6" spans="1:5" x14ac:dyDescent="0.35">
      <c r="A6" s="16" t="s">
        <v>41</v>
      </c>
      <c r="B6" s="40">
        <f>aruanne!C5</f>
        <v>134419038</v>
      </c>
      <c r="C6" s="40">
        <f>aruanne!C12+aruanne!C51</f>
        <v>-419599662</v>
      </c>
      <c r="D6" s="11">
        <f>aruanne!C58</f>
        <v>0</v>
      </c>
    </row>
    <row r="7" spans="1:5" x14ac:dyDescent="0.35">
      <c r="A7" s="16" t="s">
        <v>42</v>
      </c>
      <c r="B7" s="41"/>
      <c r="C7" s="40">
        <v>-46634115</v>
      </c>
      <c r="D7" s="11"/>
    </row>
    <row r="8" spans="1:5" x14ac:dyDescent="0.35">
      <c r="A8" s="16" t="s">
        <v>150</v>
      </c>
      <c r="B8" s="41"/>
      <c r="C8" s="40">
        <v>-4529007</v>
      </c>
      <c r="D8" s="11"/>
    </row>
    <row r="9" spans="1:5" x14ac:dyDescent="0.35">
      <c r="A9" s="16" t="s">
        <v>151</v>
      </c>
      <c r="B9" s="40"/>
      <c r="C9" s="40">
        <v>10201284</v>
      </c>
      <c r="D9" s="11"/>
    </row>
    <row r="10" spans="1:5" x14ac:dyDescent="0.35">
      <c r="A10" s="18" t="s">
        <v>92</v>
      </c>
      <c r="B10" s="40"/>
      <c r="C10" s="40"/>
      <c r="D10" s="11"/>
    </row>
    <row r="11" spans="1:5" x14ac:dyDescent="0.35">
      <c r="A11" s="18" t="s">
        <v>43</v>
      </c>
      <c r="B11" s="40"/>
      <c r="C11" s="41">
        <v>-2751051.98</v>
      </c>
      <c r="D11" s="11"/>
    </row>
    <row r="12" spans="1:5" x14ac:dyDescent="0.35">
      <c r="A12" s="46" t="s">
        <v>44</v>
      </c>
      <c r="B12" s="41"/>
      <c r="C12" s="41">
        <v>85609379</v>
      </c>
      <c r="D12" s="17"/>
    </row>
    <row r="13" spans="1:5" x14ac:dyDescent="0.35">
      <c r="A13" s="46" t="s">
        <v>45</v>
      </c>
      <c r="B13" s="41"/>
      <c r="C13" s="41">
        <f>-92020665.04+1373282.13</f>
        <v>-90647382.910000011</v>
      </c>
      <c r="D13" s="17"/>
    </row>
    <row r="14" spans="1:5" x14ac:dyDescent="0.35">
      <c r="A14" s="46" t="s">
        <v>68</v>
      </c>
      <c r="B14" s="41"/>
      <c r="C14" s="41">
        <f>7680000+88883358-85609379</f>
        <v>10953979</v>
      </c>
      <c r="D14" s="17"/>
      <c r="E14" s="33"/>
    </row>
    <row r="15" spans="1:5" x14ac:dyDescent="0.35">
      <c r="A15" s="46" t="s">
        <v>69</v>
      </c>
      <c r="B15" s="41"/>
      <c r="C15" s="41">
        <v>-8505340.5199999996</v>
      </c>
      <c r="D15" s="17"/>
    </row>
    <row r="16" spans="1:5" x14ac:dyDescent="0.35">
      <c r="A16" s="46" t="s">
        <v>46</v>
      </c>
      <c r="B16" s="41"/>
      <c r="C16" s="41">
        <v>875000</v>
      </c>
      <c r="D16" s="17"/>
    </row>
    <row r="17" spans="1:4" x14ac:dyDescent="0.35">
      <c r="A17" s="46" t="s">
        <v>47</v>
      </c>
      <c r="B17" s="41"/>
      <c r="C17" s="41"/>
      <c r="D17" s="17"/>
    </row>
    <row r="18" spans="1:4" x14ac:dyDescent="0.35">
      <c r="A18" s="46" t="s">
        <v>48</v>
      </c>
      <c r="B18" s="41"/>
      <c r="C18" s="41"/>
      <c r="D18" s="17"/>
    </row>
    <row r="19" spans="1:4" x14ac:dyDescent="0.35">
      <c r="A19" s="46" t="s">
        <v>49</v>
      </c>
      <c r="B19" s="41"/>
      <c r="C19" s="41">
        <v>9589049</v>
      </c>
      <c r="D19" s="17"/>
    </row>
    <row r="20" spans="1:4" x14ac:dyDescent="0.35">
      <c r="A20" s="46" t="s">
        <v>50</v>
      </c>
      <c r="B20" s="41"/>
      <c r="C20" s="41">
        <v>-16183699.77</v>
      </c>
      <c r="D20" s="17"/>
    </row>
    <row r="21" spans="1:4" x14ac:dyDescent="0.35">
      <c r="A21" s="46" t="s">
        <v>51</v>
      </c>
      <c r="B21" s="41"/>
      <c r="C21" s="41">
        <v>600000</v>
      </c>
      <c r="D21" s="17"/>
    </row>
    <row r="22" spans="1:4" x14ac:dyDescent="0.35">
      <c r="A22" s="46" t="s">
        <v>93</v>
      </c>
      <c r="B22" s="41"/>
      <c r="C22" s="41">
        <f>-1373282.13-548.97</f>
        <v>-1373831.0999999999</v>
      </c>
      <c r="D22" s="17"/>
    </row>
    <row r="23" spans="1:4" x14ac:dyDescent="0.35">
      <c r="A23" s="46" t="s">
        <v>52</v>
      </c>
      <c r="B23" s="41"/>
      <c r="C23" s="41"/>
      <c r="D23" s="17"/>
    </row>
    <row r="24" spans="1:4" x14ac:dyDescent="0.35">
      <c r="A24" s="46" t="s">
        <v>53</v>
      </c>
      <c r="B24" s="41"/>
      <c r="C24" s="41"/>
      <c r="D24" s="17"/>
    </row>
    <row r="25" spans="1:4" x14ac:dyDescent="0.35">
      <c r="A25" s="46" t="s">
        <v>54</v>
      </c>
      <c r="B25" s="41"/>
      <c r="C25" s="41"/>
      <c r="D25" s="17"/>
    </row>
    <row r="26" spans="1:4" x14ac:dyDescent="0.35">
      <c r="A26" s="16" t="s">
        <v>55</v>
      </c>
      <c r="B26" s="41"/>
      <c r="C26" s="41"/>
      <c r="D26" s="17"/>
    </row>
    <row r="27" spans="1:4" x14ac:dyDescent="0.35">
      <c r="A27" s="16" t="s">
        <v>56</v>
      </c>
      <c r="B27" s="41"/>
      <c r="C27" s="41"/>
      <c r="D27" s="17"/>
    </row>
    <row r="28" spans="1:4" x14ac:dyDescent="0.35">
      <c r="A28" s="19" t="s">
        <v>57</v>
      </c>
      <c r="B28" s="42">
        <f t="shared" ref="B28:D28" si="0">SUM(B6:B27)</f>
        <v>134419038</v>
      </c>
      <c r="C28" s="42">
        <f t="shared" si="0"/>
        <v>-472395399.28000003</v>
      </c>
      <c r="D28" s="20">
        <f t="shared" si="0"/>
        <v>0</v>
      </c>
    </row>
    <row r="29" spans="1:4" x14ac:dyDescent="0.35">
      <c r="A29" s="21"/>
      <c r="B29" s="43">
        <f>aruanne!D5</f>
        <v>134419038</v>
      </c>
      <c r="C29" s="43">
        <f>aruanne!D12+aruanne!D51</f>
        <v>-472395399.13999999</v>
      </c>
      <c r="D29" s="21">
        <f>aruanne!D58</f>
        <v>0</v>
      </c>
    </row>
    <row r="30" spans="1:4" x14ac:dyDescent="0.35">
      <c r="A30" s="21"/>
      <c r="B30" s="43">
        <f t="shared" ref="B30:D30" si="1">B28-B29</f>
        <v>0</v>
      </c>
      <c r="C30" s="43">
        <f t="shared" si="1"/>
        <v>-0.14000004529953003</v>
      </c>
      <c r="D30" s="21">
        <f t="shared" si="1"/>
        <v>0</v>
      </c>
    </row>
    <row r="31" spans="1:4" x14ac:dyDescent="0.35">
      <c r="C31" s="44"/>
    </row>
    <row r="32" spans="1:4" x14ac:dyDescent="0.35">
      <c r="C32" s="44"/>
    </row>
    <row r="33" spans="3:3" x14ac:dyDescent="0.35">
      <c r="C33" s="45" t="s">
        <v>154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ACCEF77512D40B856060F62DF5D0F" ma:contentTypeVersion="20" ma:contentTypeDescription="Create a new document." ma:contentTypeScope="" ma:versionID="b61493ed251ff123e52fe1c53903337c">
  <xsd:schema xmlns:xsd="http://www.w3.org/2001/XMLSchema" xmlns:xs="http://www.w3.org/2001/XMLSchema" xmlns:p="http://schemas.microsoft.com/office/2006/metadata/properties" xmlns:ns2="19db9c30-584d-4ad5-9af0-9aa7f98fdc73" xmlns:ns3="b8a1d2b4-14fc-4346-bc33-b5e3ce352a93" targetNamespace="http://schemas.microsoft.com/office/2006/metadata/properties" ma:root="true" ma:fieldsID="5fbf8d57db0fd44694ba5356269931ea" ns2:_="" ns3:_="">
    <xsd:import namespace="19db9c30-584d-4ad5-9af0-9aa7f98fdc7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REHAoktoober2025A_x002e_11398940t_x002e_1001515812summas495_x002c_9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b9c30-584d-4ad5-9af0-9aa7f98fd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HAoktoober2025A_x002e_11398940t_x002e_1001515812summas495_x002c_92" ma:index="20" nillable="true" ma:displayName="REHA oktoober 2025 A.11398940 t.1001515812 summas 495,92" ma:description="Maarjamaa Riigikool_koondaruanne_10.25_1, 2 isikut, summa 495,92 €" ma:format="Dropdown" ma:internalName="REHAoktoober2025A_x002e_11398940t_x002e_1001515812summas495_x002c_9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503bb-8001-4011-ab10-845891afb5e6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HAoktoober2025A_x002e_11398940t_x002e_1001515812summas495_x002c_92 xmlns="19db9c30-584d-4ad5-9af0-9aa7f98fdc73" xsi:nil="true"/>
    <lcf76f155ced4ddcb4097134ff3c332f xmlns="19db9c30-584d-4ad5-9af0-9aa7f98fdc73">
      <Terms xmlns="http://schemas.microsoft.com/office/infopath/2007/PartnerControls"/>
    </lcf76f155ced4ddcb4097134ff3c332f>
    <TaxCatchAll xmlns="b8a1d2b4-14fc-4346-bc33-b5e3ce352a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309EEC-D2B3-4848-AF39-04ECB0204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b9c30-584d-4ad5-9af0-9aa7f98fdc7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F74ED8-4C12-48B7-A615-A46153D7F823}">
  <ds:schemaRefs>
    <ds:schemaRef ds:uri="http://schemas.microsoft.com/office/infopath/2007/PartnerControls"/>
    <ds:schemaRef ds:uri="http://purl.org/dc/elements/1.1/"/>
    <ds:schemaRef ds:uri="19db9c30-584d-4ad5-9af0-9aa7f98fdc73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b8a1d2b4-14fc-4346-bc33-b5e3ce352a9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1ED54D-FE9F-4CA8-A1D6-078BC2C8A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Maar</dc:creator>
  <cp:lastModifiedBy>Regina Vällik - JUSTDIGI</cp:lastModifiedBy>
  <dcterms:created xsi:type="dcterms:W3CDTF">2022-02-14T16:37:54Z</dcterms:created>
  <dcterms:modified xsi:type="dcterms:W3CDTF">2026-07-10T06:25:15Z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0x010100A98ACCEF77512D40B856060F62DF5D0F</vt:lpwstr>
  </property>
  <property fmtid="{D5CDD505-2E9C-101B-9397-08002B2CF9AE}" pid="11" name="MediaServiceImageTags">
    <vt:lpwstr/>
  </property>
</Properties>
</file>